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75" windowHeight="11820" firstSheet="14" activeTab="15"/>
  </bookViews>
  <sheets>
    <sheet name="目录" sheetId="1" r:id="rId1"/>
    <sheet name="一般公共预算收入表（表一）" sheetId="2" r:id="rId2"/>
    <sheet name="一般公共预算支出表（经济分类表-明细）（表二）" sheetId="3" r:id="rId3"/>
    <sheet name="一般公共预算本级支出表（经济分类表-明细）（表三）" sheetId="6" r:id="rId4"/>
    <sheet name="一般公共预算本级基本支出表（经济分类表-明细）（表四） " sheetId="5" r:id="rId5"/>
    <sheet name="一般公共预算税收返还和转移支付表（表五）" sheetId="7" r:id="rId6"/>
    <sheet name="政府一般债务限额和余额表（表六）" sheetId="12" r:id="rId7"/>
    <sheet name="政府性基金收入表（表七）" sheetId="8" r:id="rId8"/>
    <sheet name="政府性基金支出表（表八）" sheetId="11" r:id="rId9"/>
    <sheet name="本级政府性基金支出表（表九） (3)" sheetId="10" r:id="rId10"/>
    <sheet name="政府性基金转移支付表 (表十)" sheetId="9" r:id="rId11"/>
    <sheet name="专项债务限额和余额表 （表十一）" sheetId="13" r:id="rId12"/>
    <sheet name="国有资本经营预算收入表（表十二）" sheetId="17" r:id="rId13"/>
    <sheet name="国有资本经营预算支出表（表十三)" sheetId="16" r:id="rId14"/>
    <sheet name="本级国有资本经营支出表（表十四） " sheetId="19" r:id="rId15"/>
    <sheet name="国有资本经营预算转移支付表（表十五）" sheetId="20" r:id="rId16"/>
    <sheet name="社会保险基金收入表（表十六）" sheetId="22" r:id="rId17"/>
    <sheet name="社会保险基金支出表（表十七）" sheetId="23" r:id="rId18"/>
    <sheet name="三公（表十八）" sheetId="24" r:id="rId19"/>
  </sheets>
  <externalReferences>
    <externalReference r:id="rId20"/>
    <externalReference r:id="rId21"/>
    <externalReference r:id="rId22"/>
  </externalReferences>
  <definedNames>
    <definedName name="_xlnm._FilterDatabase" localSheetId="4" hidden="1">'一般公共预算本级基本支出表（经济分类表-明细）（表四） '!$A$6:$CB$164</definedName>
    <definedName name="_xlnm._FilterDatabase" localSheetId="3" hidden="1">'一般公共预算本级支出表（经济分类表-明细）（表三）'!$A$6:$CF$164</definedName>
    <definedName name="_xlnm._FilterDatabase" localSheetId="2" hidden="1">'一般公共预算支出表（经济分类表-明细）（表二）'!$A$6:$CF$164</definedName>
    <definedName name="_xlnm.Print_Area" localSheetId="14">'本级国有资本经营支出表（表十四） '!$A$1:$C$16</definedName>
    <definedName name="_xlnm.Print_Area" localSheetId="12">'国有资本经营预算收入表（表十二）'!$A$1:$C$16</definedName>
    <definedName name="_xlnm.Print_Area" localSheetId="13">'国有资本经营预算支出表（表十三)'!$A$1:$C$16</definedName>
    <definedName name="_xlnm.Print_Area" localSheetId="4">'一般公共预算本级基本支出表（经济分类表-明细）（表四） '!$A$1:$CB$164</definedName>
    <definedName name="_xlnm.Print_Area" localSheetId="3">'一般公共预算本级支出表（经济分类表-明细）（表三）'!$A$1:$CF$164</definedName>
    <definedName name="_xlnm.Print_Area" localSheetId="1">'一般公共预算收入表（表一）'!$A$1:$J$21</definedName>
    <definedName name="_xlnm.Print_Area" localSheetId="2">'一般公共预算支出表（经济分类表-明细）（表二）'!$A$1:$CF$164</definedName>
    <definedName name="_xlnm.Print_Titles" localSheetId="9">'本级政府性基金支出表（表九） (3)'!$1:$4</definedName>
    <definedName name="_xlnm.Print_Titles" localSheetId="18">'三公（表十八）'!$1:6</definedName>
    <definedName name="_xlnm.Print_Titles" localSheetId="4">'一般公共预算本级基本支出表（经济分类表-明细）（表四） '!$1:$6</definedName>
    <definedName name="_xlnm.Print_Titles" localSheetId="3">'一般公共预算本级支出表（经济分类表-明细）（表三）'!$1:$6</definedName>
    <definedName name="_xlnm.Print_Titles" localSheetId="5">'一般公共预算税收返还和转移支付表（表五）'!$1:$4</definedName>
    <definedName name="_xlnm.Print_Titles" localSheetId="2">'一般公共预算支出表（经济分类表-明细）（表二）'!$1:$6</definedName>
    <definedName name="_xlnm.Print_Titles" localSheetId="7">'政府性基金收入表（表七）'!$1:$4</definedName>
    <definedName name="_xlnm.Print_Titles" localSheetId="8">'政府性基金支出表（表八）'!$1:$4</definedName>
    <definedName name="_xlnm.Print_Titles" localSheetId="10">'政府性基金转移支付表 (表十)'!$1:$4</definedName>
    <definedName name="地区名称" localSheetId="18">[1]封面!$B$2:$B$6</definedName>
    <definedName name="地区名称">[2]封面!$B$2:$B$6</definedName>
  </definedNames>
  <calcPr calcId="124519"/>
</workbook>
</file>

<file path=xl/calcChain.xml><?xml version="1.0" encoding="utf-8"?>
<calcChain xmlns="http://schemas.openxmlformats.org/spreadsheetml/2006/main">
  <c r="B6" i="24"/>
  <c r="B11" i="23"/>
  <c r="B10"/>
  <c r="B9"/>
  <c r="B8"/>
  <c r="B7"/>
  <c r="B6"/>
  <c r="B5"/>
  <c r="B4"/>
  <c r="B12" i="22"/>
  <c r="B11"/>
  <c r="B10"/>
  <c r="B9"/>
  <c r="B8"/>
  <c r="B7"/>
  <c r="B6"/>
  <c r="B5"/>
  <c r="B4"/>
  <c r="C14" i="19"/>
  <c r="C16" s="1"/>
  <c r="C16" i="17"/>
  <c r="C14"/>
  <c r="C14" i="16"/>
  <c r="C16" s="1"/>
  <c r="H16" i="9"/>
  <c r="I16"/>
  <c r="G16"/>
  <c r="C16"/>
  <c r="D16"/>
  <c r="E16"/>
  <c r="B16"/>
  <c r="E40" i="11"/>
  <c r="E39"/>
  <c r="E38"/>
  <c r="A38"/>
  <c r="E37"/>
  <c r="E36"/>
  <c r="E35"/>
  <c r="E34"/>
  <c r="E33"/>
  <c r="E32"/>
  <c r="E31"/>
  <c r="E30"/>
  <c r="B30"/>
  <c r="E28"/>
  <c r="E27"/>
  <c r="E26"/>
  <c r="D25"/>
  <c r="E25" s="1"/>
  <c r="E24"/>
  <c r="E23"/>
  <c r="E22"/>
  <c r="E21"/>
  <c r="E20"/>
  <c r="E19"/>
  <c r="E18"/>
  <c r="E17"/>
  <c r="E16"/>
  <c r="E15"/>
  <c r="E14"/>
  <c r="E13"/>
  <c r="D12"/>
  <c r="C12"/>
  <c r="B12"/>
  <c r="E12" s="1"/>
  <c r="E11"/>
  <c r="E10"/>
  <c r="E9"/>
  <c r="E8"/>
  <c r="D8"/>
  <c r="C8"/>
  <c r="C29" s="1"/>
  <c r="C41" s="1"/>
  <c r="E7"/>
  <c r="E6"/>
  <c r="D5"/>
  <c r="D29" s="1"/>
  <c r="D41" s="1"/>
  <c r="C5"/>
  <c r="E40" i="10"/>
  <c r="E39"/>
  <c r="E38"/>
  <c r="A38"/>
  <c r="E37"/>
  <c r="E36"/>
  <c r="E35"/>
  <c r="E34"/>
  <c r="E33"/>
  <c r="E32"/>
  <c r="E31"/>
  <c r="B30"/>
  <c r="E30" s="1"/>
  <c r="E28"/>
  <c r="E27"/>
  <c r="E26"/>
  <c r="D25"/>
  <c r="E25" s="1"/>
  <c r="E24"/>
  <c r="E23"/>
  <c r="E22"/>
  <c r="E21"/>
  <c r="E20"/>
  <c r="E19"/>
  <c r="E18"/>
  <c r="E17"/>
  <c r="E16"/>
  <c r="E15"/>
  <c r="E14"/>
  <c r="E13"/>
  <c r="D12"/>
  <c r="B12"/>
  <c r="E11"/>
  <c r="E10"/>
  <c r="E9"/>
  <c r="D8"/>
  <c r="E8"/>
  <c r="E7"/>
  <c r="E6"/>
  <c r="D5"/>
  <c r="E5"/>
  <c r="J15" i="9"/>
  <c r="E15"/>
  <c r="J14"/>
  <c r="E14"/>
  <c r="J13"/>
  <c r="F13"/>
  <c r="E13"/>
  <c r="J12"/>
  <c r="E12"/>
  <c r="J11"/>
  <c r="E11"/>
  <c r="J10"/>
  <c r="E10"/>
  <c r="J9"/>
  <c r="E9"/>
  <c r="J8"/>
  <c r="E8"/>
  <c r="J7"/>
  <c r="E7"/>
  <c r="J6"/>
  <c r="D6"/>
  <c r="D5" s="1"/>
  <c r="C6"/>
  <c r="B6"/>
  <c r="G5"/>
  <c r="J5" s="1"/>
  <c r="C5"/>
  <c r="B5"/>
  <c r="E40" i="8"/>
  <c r="E39"/>
  <c r="E38"/>
  <c r="E37"/>
  <c r="E36"/>
  <c r="E35"/>
  <c r="E34"/>
  <c r="E33"/>
  <c r="E32"/>
  <c r="D31"/>
  <c r="D30" s="1"/>
  <c r="D41" s="1"/>
  <c r="C31"/>
  <c r="B31"/>
  <c r="B30" s="1"/>
  <c r="B41" s="1"/>
  <c r="E41" s="1"/>
  <c r="C30"/>
  <c r="C41" s="1"/>
  <c r="B29"/>
  <c r="E29" s="1"/>
  <c r="E28"/>
  <c r="E27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I91" i="7"/>
  <c r="K87"/>
  <c r="K86"/>
  <c r="K85"/>
  <c r="I84"/>
  <c r="K84" s="1"/>
  <c r="K83"/>
  <c r="K82"/>
  <c r="K81"/>
  <c r="K80"/>
  <c r="K79"/>
  <c r="K78"/>
  <c r="K76"/>
  <c r="I75"/>
  <c r="K75" s="1"/>
  <c r="E75"/>
  <c r="I74"/>
  <c r="E73"/>
  <c r="F73" s="1"/>
  <c r="J73" s="1"/>
  <c r="E72"/>
  <c r="F72" s="1"/>
  <c r="J72" s="1"/>
  <c r="K72" s="1"/>
  <c r="E71"/>
  <c r="F71" s="1"/>
  <c r="J71" s="1"/>
  <c r="K71" s="1"/>
  <c r="E70"/>
  <c r="F70" s="1"/>
  <c r="J70" s="1"/>
  <c r="K70" s="1"/>
  <c r="E69"/>
  <c r="F69" s="1"/>
  <c r="J69" s="1"/>
  <c r="K69" s="1"/>
  <c r="E68"/>
  <c r="F68" s="1"/>
  <c r="J68" s="1"/>
  <c r="K68" s="1"/>
  <c r="E67"/>
  <c r="F67" s="1"/>
  <c r="J67" s="1"/>
  <c r="K67" s="1"/>
  <c r="E66"/>
  <c r="F66" s="1"/>
  <c r="J66" s="1"/>
  <c r="K66" s="1"/>
  <c r="E65"/>
  <c r="F65" s="1"/>
  <c r="J65" s="1"/>
  <c r="K65" s="1"/>
  <c r="E64"/>
  <c r="F64" s="1"/>
  <c r="J64" s="1"/>
  <c r="K64" s="1"/>
  <c r="D64"/>
  <c r="F63"/>
  <c r="J63" s="1"/>
  <c r="K63" s="1"/>
  <c r="E63"/>
  <c r="F62"/>
  <c r="J62" s="1"/>
  <c r="K62" s="1"/>
  <c r="E62"/>
  <c r="F61"/>
  <c r="J61" s="1"/>
  <c r="K61" s="1"/>
  <c r="E61"/>
  <c r="F60"/>
  <c r="J60" s="1"/>
  <c r="K60" s="1"/>
  <c r="E60"/>
  <c r="F59"/>
  <c r="J59" s="1"/>
  <c r="K59" s="1"/>
  <c r="E59"/>
  <c r="D58"/>
  <c r="E58" s="1"/>
  <c r="F58" s="1"/>
  <c r="J58" s="1"/>
  <c r="K58" s="1"/>
  <c r="E57"/>
  <c r="F57" s="1"/>
  <c r="J57" s="1"/>
  <c r="K57" s="1"/>
  <c r="E56"/>
  <c r="F56" s="1"/>
  <c r="J56" s="1"/>
  <c r="K56" s="1"/>
  <c r="E55"/>
  <c r="F55" s="1"/>
  <c r="J55" s="1"/>
  <c r="K55" s="1"/>
  <c r="E54"/>
  <c r="F54" s="1"/>
  <c r="J54" s="1"/>
  <c r="K54" s="1"/>
  <c r="D53"/>
  <c r="E53" s="1"/>
  <c r="F53" s="1"/>
  <c r="J53" s="1"/>
  <c r="C52"/>
  <c r="E51"/>
  <c r="F51" s="1"/>
  <c r="K47"/>
  <c r="E47"/>
  <c r="F47" s="1"/>
  <c r="F46"/>
  <c r="E46"/>
  <c r="E45"/>
  <c r="F45" s="1"/>
  <c r="F44"/>
  <c r="E44"/>
  <c r="E43"/>
  <c r="F43" s="1"/>
  <c r="F42"/>
  <c r="E42"/>
  <c r="E41"/>
  <c r="F41" s="1"/>
  <c r="F40"/>
  <c r="E40"/>
  <c r="E39"/>
  <c r="F39" s="1"/>
  <c r="K38"/>
  <c r="E38"/>
  <c r="F38" s="1"/>
  <c r="K37"/>
  <c r="I37"/>
  <c r="I77" s="1"/>
  <c r="E37"/>
  <c r="F37" s="1"/>
  <c r="K36"/>
  <c r="F36"/>
  <c r="E36"/>
  <c r="I35"/>
  <c r="F35"/>
  <c r="E35"/>
  <c r="I34"/>
  <c r="K34" s="1"/>
  <c r="F34"/>
  <c r="E34"/>
  <c r="K33"/>
  <c r="F33"/>
  <c r="E33"/>
  <c r="D33"/>
  <c r="K32"/>
  <c r="F32"/>
  <c r="E32"/>
  <c r="K31"/>
  <c r="E31"/>
  <c r="B31"/>
  <c r="F31" s="1"/>
  <c r="F30"/>
  <c r="E30"/>
  <c r="D30"/>
  <c r="K29"/>
  <c r="F29"/>
  <c r="E29"/>
  <c r="K28"/>
  <c r="E28"/>
  <c r="F28" s="1"/>
  <c r="K27"/>
  <c r="E27"/>
  <c r="F27" s="1"/>
  <c r="K26"/>
  <c r="F26"/>
  <c r="E26"/>
  <c r="K25"/>
  <c r="F25"/>
  <c r="E25"/>
  <c r="K24"/>
  <c r="E24"/>
  <c r="F24" s="1"/>
  <c r="K23"/>
  <c r="E23"/>
  <c r="F23" s="1"/>
  <c r="K22"/>
  <c r="F22"/>
  <c r="E22"/>
  <c r="K21"/>
  <c r="F21"/>
  <c r="E21"/>
  <c r="B21"/>
  <c r="I20"/>
  <c r="K20" s="1"/>
  <c r="F20"/>
  <c r="E20"/>
  <c r="I19"/>
  <c r="K19" s="1"/>
  <c r="F19"/>
  <c r="E19"/>
  <c r="K18"/>
  <c r="F18"/>
  <c r="E18"/>
  <c r="F17"/>
  <c r="E17"/>
  <c r="K16"/>
  <c r="E16"/>
  <c r="B16"/>
  <c r="F16" s="1"/>
  <c r="K15"/>
  <c r="E15"/>
  <c r="F15" s="1"/>
  <c r="C15"/>
  <c r="C13" s="1"/>
  <c r="B15"/>
  <c r="K14"/>
  <c r="F14"/>
  <c r="E14"/>
  <c r="K13"/>
  <c r="D13"/>
  <c r="K12"/>
  <c r="F12"/>
  <c r="E12"/>
  <c r="B12"/>
  <c r="I10"/>
  <c r="K10" s="1"/>
  <c r="K9"/>
  <c r="K8"/>
  <c r="I7"/>
  <c r="I17" s="1"/>
  <c r="K6"/>
  <c r="K5"/>
  <c r="E5"/>
  <c r="F5" s="1"/>
  <c r="CC163" i="6"/>
  <c r="BY163"/>
  <c r="BX163"/>
  <c r="BW163"/>
  <c r="BR163"/>
  <c r="BL163"/>
  <c r="BK163"/>
  <c r="BJ163" s="1"/>
  <c r="BI163" s="1"/>
  <c r="BE163"/>
  <c r="BC163" s="1"/>
  <c r="AZ163"/>
  <c r="AS163"/>
  <c r="AD163"/>
  <c r="AC163"/>
  <c r="AB163" s="1"/>
  <c r="Q163" s="1"/>
  <c r="V163"/>
  <c r="R163"/>
  <c r="N163"/>
  <c r="L163"/>
  <c r="F163"/>
  <c r="AG163" s="1"/>
  <c r="BJ162"/>
  <c r="BI162" s="1"/>
  <c r="BE162"/>
  <c r="BC162"/>
  <c r="AI162"/>
  <c r="AF162"/>
  <c r="AC162"/>
  <c r="AB162"/>
  <c r="W162"/>
  <c r="V162" s="1"/>
  <c r="R162"/>
  <c r="U162" s="1"/>
  <c r="F162"/>
  <c r="O162" s="1"/>
  <c r="BW161"/>
  <c r="BT161"/>
  <c r="BJ161"/>
  <c r="BE161"/>
  <c r="BC161"/>
  <c r="AI161"/>
  <c r="AF161"/>
  <c r="AC161"/>
  <c r="AB161" s="1"/>
  <c r="W161"/>
  <c r="V161" s="1"/>
  <c r="R161"/>
  <c r="U161" s="1"/>
  <c r="AM161" s="1"/>
  <c r="O161"/>
  <c r="F161"/>
  <c r="CE160"/>
  <c r="CE164" s="1"/>
  <c r="CD160"/>
  <c r="CD164" s="1"/>
  <c r="CC160"/>
  <c r="CC164" s="1"/>
  <c r="CA160"/>
  <c r="CA164" s="1"/>
  <c r="BY160"/>
  <c r="BY164" s="1"/>
  <c r="BV160"/>
  <c r="BV164" s="1"/>
  <c r="BU160"/>
  <c r="BU164" s="1"/>
  <c r="BT160"/>
  <c r="BT164" s="1"/>
  <c r="BR160"/>
  <c r="BR164" s="1"/>
  <c r="BQ160"/>
  <c r="BQ164" s="1"/>
  <c r="BO160"/>
  <c r="BO164" s="1"/>
  <c r="BN160"/>
  <c r="BN164" s="1"/>
  <c r="BM160"/>
  <c r="BM164" s="1"/>
  <c r="BL160"/>
  <c r="BL164" s="1"/>
  <c r="BK160"/>
  <c r="BK164" s="1"/>
  <c r="BH160"/>
  <c r="BH164" s="1"/>
  <c r="BA160"/>
  <c r="BA164" s="1"/>
  <c r="AY160"/>
  <c r="AY164" s="1"/>
  <c r="AR160"/>
  <c r="AR164" s="1"/>
  <c r="AH160"/>
  <c r="AH164" s="1"/>
  <c r="AD160"/>
  <c r="AD164" s="1"/>
  <c r="AA160"/>
  <c r="AA164" s="1"/>
  <c r="Z160"/>
  <c r="Z164" s="1"/>
  <c r="Y160"/>
  <c r="Y164" s="1"/>
  <c r="X160"/>
  <c r="X164" s="1"/>
  <c r="S160"/>
  <c r="S164" s="1"/>
  <c r="M160"/>
  <c r="M164" s="1"/>
  <c r="L160"/>
  <c r="L164" s="1"/>
  <c r="H160"/>
  <c r="H164" s="1"/>
  <c r="BJ159"/>
  <c r="BI159" s="1"/>
  <c r="BE159"/>
  <c r="BD159"/>
  <c r="BC159" s="1"/>
  <c r="AI159"/>
  <c r="AV159" s="1"/>
  <c r="AW159" s="1"/>
  <c r="AF159"/>
  <c r="AC159"/>
  <c r="AB159" s="1"/>
  <c r="W159"/>
  <c r="U159"/>
  <c r="AP159" s="1"/>
  <c r="AQ159" s="1"/>
  <c r="R159"/>
  <c r="F159"/>
  <c r="O159" s="1"/>
  <c r="BJ158"/>
  <c r="BI158" s="1"/>
  <c r="BE158"/>
  <c r="BD158"/>
  <c r="BC158"/>
  <c r="AV158"/>
  <c r="AW158" s="1"/>
  <c r="AI158"/>
  <c r="AF158"/>
  <c r="AC158"/>
  <c r="AB158" s="1"/>
  <c r="W158"/>
  <c r="V158" s="1"/>
  <c r="R158"/>
  <c r="U158" s="1"/>
  <c r="AX158" s="1"/>
  <c r="O158"/>
  <c r="F158"/>
  <c r="BX157"/>
  <c r="BJ157"/>
  <c r="BI157" s="1"/>
  <c r="BE157"/>
  <c r="BD157"/>
  <c r="AI157"/>
  <c r="AF157"/>
  <c r="AC157"/>
  <c r="AB157" s="1"/>
  <c r="W157"/>
  <c r="V157"/>
  <c r="R157"/>
  <c r="U157" s="1"/>
  <c r="F157"/>
  <c r="O157" s="1"/>
  <c r="BJ156"/>
  <c r="BI156" s="1"/>
  <c r="BE156"/>
  <c r="BD156"/>
  <c r="BC156" s="1"/>
  <c r="AV156"/>
  <c r="AW156" s="1"/>
  <c r="AI156"/>
  <c r="AF156"/>
  <c r="AC156"/>
  <c r="AB156" s="1"/>
  <c r="W156"/>
  <c r="V156"/>
  <c r="R156"/>
  <c r="U156" s="1"/>
  <c r="F156"/>
  <c r="O156" s="1"/>
  <c r="BJ155"/>
  <c r="BI155" s="1"/>
  <c r="BE155"/>
  <c r="BD155"/>
  <c r="AI155"/>
  <c r="AF155"/>
  <c r="AC155"/>
  <c r="W155"/>
  <c r="V155"/>
  <c r="R155"/>
  <c r="U155" s="1"/>
  <c r="F155"/>
  <c r="O155" s="1"/>
  <c r="BJ154"/>
  <c r="BI154" s="1"/>
  <c r="BE154"/>
  <c r="BD154"/>
  <c r="BC154" s="1"/>
  <c r="AV154"/>
  <c r="AW154" s="1"/>
  <c r="AI154"/>
  <c r="AF154"/>
  <c r="AC154"/>
  <c r="W154"/>
  <c r="V154"/>
  <c r="R154"/>
  <c r="U154" s="1"/>
  <c r="F154"/>
  <c r="O154" s="1"/>
  <c r="BJ153"/>
  <c r="BI153" s="1"/>
  <c r="BE153"/>
  <c r="BD153"/>
  <c r="AI153"/>
  <c r="AF153"/>
  <c r="AC153"/>
  <c r="W153"/>
  <c r="V153"/>
  <c r="R153"/>
  <c r="U153" s="1"/>
  <c r="F153"/>
  <c r="O153" s="1"/>
  <c r="BJ152"/>
  <c r="BI152" s="1"/>
  <c r="BE152"/>
  <c r="BD152"/>
  <c r="BC152" s="1"/>
  <c r="AV152"/>
  <c r="AW152" s="1"/>
  <c r="AI152"/>
  <c r="AF152"/>
  <c r="AC152"/>
  <c r="AB152" s="1"/>
  <c r="W152"/>
  <c r="R152"/>
  <c r="U152" s="1"/>
  <c r="F152"/>
  <c r="O152" s="1"/>
  <c r="BJ151"/>
  <c r="BI151" s="1"/>
  <c r="BE151"/>
  <c r="BD151"/>
  <c r="AI151"/>
  <c r="AN151" s="1"/>
  <c r="AO151" s="1"/>
  <c r="AF151"/>
  <c r="AC151"/>
  <c r="W151"/>
  <c r="V151"/>
  <c r="U151"/>
  <c r="R151"/>
  <c r="F151"/>
  <c r="O151" s="1"/>
  <c r="BJ150"/>
  <c r="BI150" s="1"/>
  <c r="BE150"/>
  <c r="BD150"/>
  <c r="AI150"/>
  <c r="AF150"/>
  <c r="AC150"/>
  <c r="W150"/>
  <c r="V150" s="1"/>
  <c r="R150"/>
  <c r="U150" s="1"/>
  <c r="AN150" s="1"/>
  <c r="AO150" s="1"/>
  <c r="O150"/>
  <c r="F150"/>
  <c r="BJ149"/>
  <c r="BI149" s="1"/>
  <c r="BE149"/>
  <c r="BD149"/>
  <c r="AI149"/>
  <c r="AF149"/>
  <c r="AC149"/>
  <c r="W149"/>
  <c r="V149" s="1"/>
  <c r="R149"/>
  <c r="U149" s="1"/>
  <c r="AM149" s="1"/>
  <c r="O149"/>
  <c r="F149"/>
  <c r="BJ148"/>
  <c r="BI148" s="1"/>
  <c r="BE148"/>
  <c r="BC148" s="1"/>
  <c r="AV148"/>
  <c r="AW148" s="1"/>
  <c r="AI148"/>
  <c r="AE148"/>
  <c r="AC148"/>
  <c r="AB148" s="1"/>
  <c r="W148"/>
  <c r="V148"/>
  <c r="R148"/>
  <c r="U148" s="1"/>
  <c r="N148"/>
  <c r="O148" s="1"/>
  <c r="F148"/>
  <c r="BJ147"/>
  <c r="BI147" s="1"/>
  <c r="BE147"/>
  <c r="BC147" s="1"/>
  <c r="AE147"/>
  <c r="AC147"/>
  <c r="W147"/>
  <c r="V147"/>
  <c r="U147"/>
  <c r="R147"/>
  <c r="I147"/>
  <c r="BJ146"/>
  <c r="BI146" s="1"/>
  <c r="BE146"/>
  <c r="BC146" s="1"/>
  <c r="AE146"/>
  <c r="AC146"/>
  <c r="AB146"/>
  <c r="W146"/>
  <c r="V146" s="1"/>
  <c r="T146"/>
  <c r="I146"/>
  <c r="AI146" s="1"/>
  <c r="AV146" s="1"/>
  <c r="AW146" s="1"/>
  <c r="BJ145"/>
  <c r="BI145"/>
  <c r="BE145"/>
  <c r="BC145" s="1"/>
  <c r="AE145"/>
  <c r="AC145"/>
  <c r="W145"/>
  <c r="V145" s="1"/>
  <c r="T145"/>
  <c r="R145"/>
  <c r="U145" s="1"/>
  <c r="I145"/>
  <c r="AI145" s="1"/>
  <c r="AV145" s="1"/>
  <c r="AW145" s="1"/>
  <c r="BJ144"/>
  <c r="BI144" s="1"/>
  <c r="BE144"/>
  <c r="BC144" s="1"/>
  <c r="AE144"/>
  <c r="AB144" s="1"/>
  <c r="AC144"/>
  <c r="W144"/>
  <c r="V144"/>
  <c r="R144"/>
  <c r="U144" s="1"/>
  <c r="I144"/>
  <c r="AI144" s="1"/>
  <c r="BJ143"/>
  <c r="BI143"/>
  <c r="BE143"/>
  <c r="BC143" s="1"/>
  <c r="AE143"/>
  <c r="AC143"/>
  <c r="W143"/>
  <c r="V143" s="1"/>
  <c r="T143"/>
  <c r="I143"/>
  <c r="F143" s="1"/>
  <c r="O143" s="1"/>
  <c r="BJ142"/>
  <c r="BI142" s="1"/>
  <c r="BE142"/>
  <c r="BC142"/>
  <c r="AE142"/>
  <c r="AC142"/>
  <c r="W142"/>
  <c r="V142" s="1"/>
  <c r="T142"/>
  <c r="I142"/>
  <c r="F142" s="1"/>
  <c r="O142" s="1"/>
  <c r="BS141"/>
  <c r="BS160" s="1"/>
  <c r="BS164" s="1"/>
  <c r="BJ141"/>
  <c r="BE141"/>
  <c r="BC141"/>
  <c r="AE141"/>
  <c r="AC141"/>
  <c r="W141"/>
  <c r="V141" s="1"/>
  <c r="T141"/>
  <c r="R141" s="1"/>
  <c r="U141" s="1"/>
  <c r="K141"/>
  <c r="K160" s="1"/>
  <c r="K164" s="1"/>
  <c r="I141"/>
  <c r="AI141" s="1"/>
  <c r="BJ140"/>
  <c r="BI140" s="1"/>
  <c r="BE140"/>
  <c r="BC140" s="1"/>
  <c r="AE140"/>
  <c r="AC140"/>
  <c r="AB140" s="1"/>
  <c r="W140"/>
  <c r="V140" s="1"/>
  <c r="T140"/>
  <c r="I140"/>
  <c r="F140" s="1"/>
  <c r="O140" s="1"/>
  <c r="BJ139"/>
  <c r="BI139" s="1"/>
  <c r="BE139"/>
  <c r="BC139" s="1"/>
  <c r="AE139"/>
  <c r="AC139"/>
  <c r="AB139" s="1"/>
  <c r="W139"/>
  <c r="V139" s="1"/>
  <c r="T139"/>
  <c r="I139"/>
  <c r="AI139" s="1"/>
  <c r="BJ138"/>
  <c r="BI138"/>
  <c r="BE138"/>
  <c r="BC138" s="1"/>
  <c r="AE138"/>
  <c r="AC138"/>
  <c r="W138"/>
  <c r="V138" s="1"/>
  <c r="T138"/>
  <c r="R138" s="1"/>
  <c r="U138" s="1"/>
  <c r="I138"/>
  <c r="F138" s="1"/>
  <c r="O138" s="1"/>
  <c r="BJ137"/>
  <c r="BI137" s="1"/>
  <c r="BE137"/>
  <c r="BC137" s="1"/>
  <c r="AE137"/>
  <c r="AC137"/>
  <c r="AB137" s="1"/>
  <c r="W137"/>
  <c r="V137" s="1"/>
  <c r="T137"/>
  <c r="R137"/>
  <c r="U137" s="1"/>
  <c r="I137"/>
  <c r="AI137" s="1"/>
  <c r="AV137" s="1"/>
  <c r="AW137" s="1"/>
  <c r="BJ136"/>
  <c r="BI136" s="1"/>
  <c r="BE136"/>
  <c r="BC136" s="1"/>
  <c r="AI136"/>
  <c r="AV136" s="1"/>
  <c r="AW136" s="1"/>
  <c r="AE136"/>
  <c r="AC136"/>
  <c r="AB136" s="1"/>
  <c r="W136"/>
  <c r="V136" s="1"/>
  <c r="R136"/>
  <c r="U136" s="1"/>
  <c r="AP136" s="1"/>
  <c r="AQ136" s="1"/>
  <c r="O136"/>
  <c r="F136"/>
  <c r="BJ135"/>
  <c r="BI135"/>
  <c r="BE135"/>
  <c r="BC135" s="1"/>
  <c r="AI135"/>
  <c r="AE135"/>
  <c r="AC135"/>
  <c r="W135"/>
  <c r="V135" s="1"/>
  <c r="T135"/>
  <c r="I135"/>
  <c r="F135" s="1"/>
  <c r="O135" s="1"/>
  <c r="BJ134"/>
  <c r="BI134" s="1"/>
  <c r="BE134"/>
  <c r="BC134" s="1"/>
  <c r="AE134"/>
  <c r="AC134"/>
  <c r="AB134" s="1"/>
  <c r="W134"/>
  <c r="V134" s="1"/>
  <c r="T134"/>
  <c r="I134"/>
  <c r="F134" s="1"/>
  <c r="O134" s="1"/>
  <c r="BJ133"/>
  <c r="BI133" s="1"/>
  <c r="BE133"/>
  <c r="BC133" s="1"/>
  <c r="AI133"/>
  <c r="AV133" s="1"/>
  <c r="AW133" s="1"/>
  <c r="AE133"/>
  <c r="AC133"/>
  <c r="AB133" s="1"/>
  <c r="W133"/>
  <c r="V133"/>
  <c r="R133"/>
  <c r="U133" s="1"/>
  <c r="F133"/>
  <c r="O133" s="1"/>
  <c r="BJ132"/>
  <c r="BI132" s="1"/>
  <c r="BE132"/>
  <c r="BC132" s="1"/>
  <c r="AI132"/>
  <c r="AV132" s="1"/>
  <c r="AW132" s="1"/>
  <c r="AC132"/>
  <c r="AB132" s="1"/>
  <c r="W132"/>
  <c r="V132" s="1"/>
  <c r="R132"/>
  <c r="U132" s="1"/>
  <c r="O132"/>
  <c r="F132"/>
  <c r="AG132" s="1"/>
  <c r="BJ131"/>
  <c r="BI131" s="1"/>
  <c r="BE131"/>
  <c r="BC131" s="1"/>
  <c r="AI131"/>
  <c r="AV131" s="1"/>
  <c r="AW131" s="1"/>
  <c r="AC131"/>
  <c r="AB131" s="1"/>
  <c r="W131"/>
  <c r="V131" s="1"/>
  <c r="R131"/>
  <c r="U131" s="1"/>
  <c r="AP131" s="1"/>
  <c r="AQ131" s="1"/>
  <c r="F131"/>
  <c r="O131" s="1"/>
  <c r="BJ130"/>
  <c r="BI130"/>
  <c r="BE130"/>
  <c r="BC130" s="1"/>
  <c r="AC130"/>
  <c r="AB130" s="1"/>
  <c r="W130"/>
  <c r="V130" s="1"/>
  <c r="U130"/>
  <c r="R130"/>
  <c r="I130"/>
  <c r="AI130" s="1"/>
  <c r="AV130" s="1"/>
  <c r="AW130" s="1"/>
  <c r="BJ129"/>
  <c r="BI129"/>
  <c r="BE129"/>
  <c r="BC129" s="1"/>
  <c r="AC129"/>
  <c r="AB129" s="1"/>
  <c r="W129"/>
  <c r="V129" s="1"/>
  <c r="T129"/>
  <c r="R129" s="1"/>
  <c r="U129" s="1"/>
  <c r="I129"/>
  <c r="AI129" s="1"/>
  <c r="BJ128"/>
  <c r="BI128"/>
  <c r="BE128"/>
  <c r="BC128" s="1"/>
  <c r="AC128"/>
  <c r="AB128"/>
  <c r="W128"/>
  <c r="V128" s="1"/>
  <c r="T128"/>
  <c r="I128"/>
  <c r="F128" s="1"/>
  <c r="BP127"/>
  <c r="BJ127"/>
  <c r="BE127"/>
  <c r="BC127"/>
  <c r="AC127"/>
  <c r="AB127" s="1"/>
  <c r="W127"/>
  <c r="V127" s="1"/>
  <c r="T127"/>
  <c r="I127"/>
  <c r="AI127" s="1"/>
  <c r="BJ126"/>
  <c r="BI126"/>
  <c r="BE126"/>
  <c r="BC126" s="1"/>
  <c r="AC126"/>
  <c r="AB126" s="1"/>
  <c r="W126"/>
  <c r="V126" s="1"/>
  <c r="T126"/>
  <c r="R126" s="1"/>
  <c r="U126" s="1"/>
  <c r="I126"/>
  <c r="AI126" s="1"/>
  <c r="BJ125"/>
  <c r="BI125" s="1"/>
  <c r="BE125"/>
  <c r="BC125" s="1"/>
  <c r="AC125"/>
  <c r="AB125"/>
  <c r="W125"/>
  <c r="V125" s="1"/>
  <c r="T125"/>
  <c r="I125"/>
  <c r="F125" s="1"/>
  <c r="BJ124"/>
  <c r="BI124" s="1"/>
  <c r="BE124"/>
  <c r="BC124" s="1"/>
  <c r="AC124"/>
  <c r="AB124" s="1"/>
  <c r="W124"/>
  <c r="V124" s="1"/>
  <c r="T124"/>
  <c r="I124"/>
  <c r="AI124" s="1"/>
  <c r="BJ123"/>
  <c r="BI123" s="1"/>
  <c r="BE123"/>
  <c r="BD123"/>
  <c r="BC123" s="1"/>
  <c r="AI123"/>
  <c r="AV123" s="1"/>
  <c r="AW123" s="1"/>
  <c r="AF123"/>
  <c r="AC123"/>
  <c r="AB123" s="1"/>
  <c r="W123"/>
  <c r="AM123" s="1"/>
  <c r="U123"/>
  <c r="R123"/>
  <c r="F123"/>
  <c r="O123" s="1"/>
  <c r="BJ122"/>
  <c r="BI122" s="1"/>
  <c r="BE122"/>
  <c r="BD122"/>
  <c r="BC122" s="1"/>
  <c r="AW122"/>
  <c r="AV122"/>
  <c r="AT122"/>
  <c r="AU122" s="1"/>
  <c r="AS122"/>
  <c r="AQ122"/>
  <c r="AP122"/>
  <c r="AN122"/>
  <c r="AO122" s="1"/>
  <c r="AM122"/>
  <c r="AL122"/>
  <c r="AL160" s="1"/>
  <c r="AL164" s="1"/>
  <c r="AI122"/>
  <c r="AF122"/>
  <c r="AX122" s="1"/>
  <c r="AC122"/>
  <c r="AB122" s="1"/>
  <c r="W122"/>
  <c r="V122" s="1"/>
  <c r="R122"/>
  <c r="U122" s="1"/>
  <c r="F122"/>
  <c r="O122" s="1"/>
  <c r="BJ121"/>
  <c r="BI121"/>
  <c r="BF121"/>
  <c r="BE121" s="1"/>
  <c r="BC121" s="1"/>
  <c r="BD121"/>
  <c r="AI121"/>
  <c r="AG121"/>
  <c r="AF121" s="1"/>
  <c r="AC121"/>
  <c r="W121"/>
  <c r="V121"/>
  <c r="U121"/>
  <c r="R121"/>
  <c r="F121"/>
  <c r="O121" s="1"/>
  <c r="BX120"/>
  <c r="BJ120"/>
  <c r="BI120" s="1"/>
  <c r="BE120"/>
  <c r="BD120"/>
  <c r="BC120" s="1"/>
  <c r="AI120"/>
  <c r="AV120" s="1"/>
  <c r="AW120" s="1"/>
  <c r="AF120"/>
  <c r="AC120"/>
  <c r="AB120" s="1"/>
  <c r="W120"/>
  <c r="AM120" s="1"/>
  <c r="U120"/>
  <c r="R120"/>
  <c r="F120"/>
  <c r="O120" s="1"/>
  <c r="BJ119"/>
  <c r="BI119" s="1"/>
  <c r="BE119"/>
  <c r="BD119"/>
  <c r="BC119" s="1"/>
  <c r="AI119"/>
  <c r="AV119" s="1"/>
  <c r="AW119" s="1"/>
  <c r="AF119"/>
  <c r="AC119"/>
  <c r="W119"/>
  <c r="U119"/>
  <c r="AP119" s="1"/>
  <c r="AQ119" s="1"/>
  <c r="R119"/>
  <c r="F119"/>
  <c r="O119" s="1"/>
  <c r="BJ118"/>
  <c r="BI118" s="1"/>
  <c r="BE118"/>
  <c r="BD118"/>
  <c r="AI118"/>
  <c r="AF118"/>
  <c r="AC118"/>
  <c r="W118"/>
  <c r="V118"/>
  <c r="U118"/>
  <c r="R118"/>
  <c r="F118"/>
  <c r="O118" s="1"/>
  <c r="BJ117"/>
  <c r="BI117" s="1"/>
  <c r="BE117"/>
  <c r="BD117"/>
  <c r="AI117"/>
  <c r="AF117"/>
  <c r="AC117"/>
  <c r="W117"/>
  <c r="V117" s="1"/>
  <c r="R117"/>
  <c r="U117" s="1"/>
  <c r="O117"/>
  <c r="F117"/>
  <c r="BJ116"/>
  <c r="BI116" s="1"/>
  <c r="BE116"/>
  <c r="BD116"/>
  <c r="BC116" s="1"/>
  <c r="AI116"/>
  <c r="AF116"/>
  <c r="AC116"/>
  <c r="AB116" s="1"/>
  <c r="W116"/>
  <c r="V116" s="1"/>
  <c r="R116"/>
  <c r="U116" s="1"/>
  <c r="F116"/>
  <c r="O116" s="1"/>
  <c r="BJ115"/>
  <c r="BI115"/>
  <c r="BE115"/>
  <c r="BD115"/>
  <c r="AI115"/>
  <c r="AF115"/>
  <c r="AC115"/>
  <c r="AB115" s="1"/>
  <c r="W115"/>
  <c r="V115" s="1"/>
  <c r="R115"/>
  <c r="U115" s="1"/>
  <c r="O115"/>
  <c r="F115"/>
  <c r="BJ114"/>
  <c r="BI114" s="1"/>
  <c r="BE114"/>
  <c r="BD114"/>
  <c r="BC114" s="1"/>
  <c r="AI114"/>
  <c r="AF114"/>
  <c r="AC114"/>
  <c r="AB114" s="1"/>
  <c r="W114"/>
  <c r="V114" s="1"/>
  <c r="R114"/>
  <c r="U114" s="1"/>
  <c r="O114"/>
  <c r="F114"/>
  <c r="BJ113"/>
  <c r="BI113" s="1"/>
  <c r="BE113"/>
  <c r="BD113"/>
  <c r="BC113" s="1"/>
  <c r="AI113"/>
  <c r="AF113"/>
  <c r="AC113"/>
  <c r="AB113" s="1"/>
  <c r="W113"/>
  <c r="V113" s="1"/>
  <c r="U113"/>
  <c r="R113"/>
  <c r="F113"/>
  <c r="O113" s="1"/>
  <c r="BJ112"/>
  <c r="BI112" s="1"/>
  <c r="BE112"/>
  <c r="BD112"/>
  <c r="BC112"/>
  <c r="AI112"/>
  <c r="AF112"/>
  <c r="AC112"/>
  <c r="AB112" s="1"/>
  <c r="W112"/>
  <c r="V112" s="1"/>
  <c r="U112"/>
  <c r="R112"/>
  <c r="F112"/>
  <c r="O112" s="1"/>
  <c r="BJ111"/>
  <c r="BI111" s="1"/>
  <c r="BE111"/>
  <c r="BD111"/>
  <c r="BC111"/>
  <c r="AI111"/>
  <c r="AF111"/>
  <c r="AC111"/>
  <c r="AB111" s="1"/>
  <c r="W111"/>
  <c r="V111" s="1"/>
  <c r="U111"/>
  <c r="R111"/>
  <c r="F111"/>
  <c r="O111" s="1"/>
  <c r="BJ110"/>
  <c r="BI110" s="1"/>
  <c r="BE110"/>
  <c r="BD110"/>
  <c r="BC110"/>
  <c r="AI110"/>
  <c r="AF110"/>
  <c r="AC110"/>
  <c r="AB110" s="1"/>
  <c r="W110"/>
  <c r="V110" s="1"/>
  <c r="U110"/>
  <c r="R110"/>
  <c r="F110"/>
  <c r="O110" s="1"/>
  <c r="BJ109"/>
  <c r="BI109" s="1"/>
  <c r="BE109"/>
  <c r="BD109"/>
  <c r="BC109"/>
  <c r="AG109"/>
  <c r="AC109"/>
  <c r="AB109" s="1"/>
  <c r="W109"/>
  <c r="V109" s="1"/>
  <c r="U109"/>
  <c r="R109"/>
  <c r="F109"/>
  <c r="O109" s="1"/>
  <c r="BJ108"/>
  <c r="BI108" s="1"/>
  <c r="BE108"/>
  <c r="BD108"/>
  <c r="AC108"/>
  <c r="AB108"/>
  <c r="W108"/>
  <c r="V108" s="1"/>
  <c r="U108"/>
  <c r="R108"/>
  <c r="F108"/>
  <c r="O108" s="1"/>
  <c r="BJ107"/>
  <c r="BI107" s="1"/>
  <c r="BE107"/>
  <c r="BD107"/>
  <c r="BC107" s="1"/>
  <c r="AG107"/>
  <c r="AC107"/>
  <c r="AB107" s="1"/>
  <c r="W107"/>
  <c r="V107"/>
  <c r="U107"/>
  <c r="R107"/>
  <c r="F107"/>
  <c r="O107" s="1"/>
  <c r="BJ106"/>
  <c r="BI106" s="1"/>
  <c r="BE106"/>
  <c r="BD106"/>
  <c r="BC106" s="1"/>
  <c r="AG106"/>
  <c r="AC106"/>
  <c r="AB106" s="1"/>
  <c r="W106"/>
  <c r="V106" s="1"/>
  <c r="U106"/>
  <c r="R106"/>
  <c r="F106"/>
  <c r="O106" s="1"/>
  <c r="BJ105"/>
  <c r="BI105"/>
  <c r="BE105"/>
  <c r="BD105"/>
  <c r="AI105"/>
  <c r="AV105" s="1"/>
  <c r="AW105" s="1"/>
  <c r="AF105"/>
  <c r="AB105" s="1"/>
  <c r="AC105"/>
  <c r="W105"/>
  <c r="V105" s="1"/>
  <c r="R105"/>
  <c r="U105" s="1"/>
  <c r="AX105" s="1"/>
  <c r="F105"/>
  <c r="O105" s="1"/>
  <c r="BJ104"/>
  <c r="BI104"/>
  <c r="BE104"/>
  <c r="BD104"/>
  <c r="AI104"/>
  <c r="AV104" s="1"/>
  <c r="AW104" s="1"/>
  <c r="AF104"/>
  <c r="AC104"/>
  <c r="AB104" s="1"/>
  <c r="W104"/>
  <c r="V104" s="1"/>
  <c r="R104"/>
  <c r="U104" s="1"/>
  <c r="AX104" s="1"/>
  <c r="F104"/>
  <c r="O104" s="1"/>
  <c r="BJ103"/>
  <c r="BI103"/>
  <c r="BE103"/>
  <c r="BD103"/>
  <c r="AI103"/>
  <c r="AV103" s="1"/>
  <c r="AW103" s="1"/>
  <c r="AF103"/>
  <c r="AB103" s="1"/>
  <c r="AC103"/>
  <c r="W103"/>
  <c r="V103" s="1"/>
  <c r="R103"/>
  <c r="U103" s="1"/>
  <c r="AX103" s="1"/>
  <c r="F103"/>
  <c r="O103" s="1"/>
  <c r="BJ102"/>
  <c r="BI102"/>
  <c r="BE102"/>
  <c r="BD102"/>
  <c r="AJ102"/>
  <c r="AK102" s="1"/>
  <c r="AI102"/>
  <c r="AV102" s="1"/>
  <c r="AW102" s="1"/>
  <c r="AF102"/>
  <c r="AC102"/>
  <c r="AB102"/>
  <c r="W102"/>
  <c r="V102" s="1"/>
  <c r="R102"/>
  <c r="U102" s="1"/>
  <c r="F102"/>
  <c r="O102" s="1"/>
  <c r="BJ101"/>
  <c r="BI101" s="1"/>
  <c r="BE101"/>
  <c r="BD101"/>
  <c r="BC101" s="1"/>
  <c r="AX101"/>
  <c r="AI101"/>
  <c r="AV101" s="1"/>
  <c r="AW101" s="1"/>
  <c r="AF101"/>
  <c r="AC101"/>
  <c r="AB101"/>
  <c r="W101"/>
  <c r="V101" s="1"/>
  <c r="R101"/>
  <c r="U101" s="1"/>
  <c r="F101"/>
  <c r="O101" s="1"/>
  <c r="BJ100"/>
  <c r="BI100" s="1"/>
  <c r="BE100"/>
  <c r="AF100"/>
  <c r="AC100"/>
  <c r="AB100" s="1"/>
  <c r="W100"/>
  <c r="V100" s="1"/>
  <c r="R100"/>
  <c r="U100" s="1"/>
  <c r="I100"/>
  <c r="BD100" s="1"/>
  <c r="BC100" s="1"/>
  <c r="BJ99"/>
  <c r="BI99" s="1"/>
  <c r="BE99"/>
  <c r="BD99"/>
  <c r="BC99"/>
  <c r="AI99"/>
  <c r="AF99"/>
  <c r="AC99"/>
  <c r="AB99" s="1"/>
  <c r="W99"/>
  <c r="V99" s="1"/>
  <c r="R99"/>
  <c r="U99" s="1"/>
  <c r="F99"/>
  <c r="O99" s="1"/>
  <c r="BJ98"/>
  <c r="BI98" s="1"/>
  <c r="BE98"/>
  <c r="BD98"/>
  <c r="BC98"/>
  <c r="AI98"/>
  <c r="AF98"/>
  <c r="AB98" s="1"/>
  <c r="AC98"/>
  <c r="W98"/>
  <c r="V98" s="1"/>
  <c r="U98"/>
  <c r="AP98" s="1"/>
  <c r="AQ98" s="1"/>
  <c r="R98"/>
  <c r="F98"/>
  <c r="O98" s="1"/>
  <c r="BJ97"/>
  <c r="BI97" s="1"/>
  <c r="BE97"/>
  <c r="BD97"/>
  <c r="BC97"/>
  <c r="AI97"/>
  <c r="AF97"/>
  <c r="AC97"/>
  <c r="AB97" s="1"/>
  <c r="W97"/>
  <c r="V97" s="1"/>
  <c r="R97"/>
  <c r="U97" s="1"/>
  <c r="F97"/>
  <c r="O97" s="1"/>
  <c r="BX96"/>
  <c r="BJ96"/>
  <c r="BI96" s="1"/>
  <c r="BE96"/>
  <c r="AF96"/>
  <c r="AC96"/>
  <c r="W96"/>
  <c r="V96" s="1"/>
  <c r="R96"/>
  <c r="U96" s="1"/>
  <c r="I96"/>
  <c r="AI96" s="1"/>
  <c r="BJ95"/>
  <c r="BI95" s="1"/>
  <c r="BE95"/>
  <c r="BD95"/>
  <c r="AW95"/>
  <c r="AV95"/>
  <c r="AI95"/>
  <c r="AF95"/>
  <c r="AC95"/>
  <c r="W95"/>
  <c r="V95" s="1"/>
  <c r="R95"/>
  <c r="U95" s="1"/>
  <c r="AN95" s="1"/>
  <c r="AO95" s="1"/>
  <c r="O95"/>
  <c r="F95"/>
  <c r="BJ94"/>
  <c r="BI94" s="1"/>
  <c r="BE94"/>
  <c r="BD94"/>
  <c r="AI94"/>
  <c r="AF94"/>
  <c r="AC94"/>
  <c r="W94"/>
  <c r="V94" s="1"/>
  <c r="R94"/>
  <c r="U94" s="1"/>
  <c r="O94"/>
  <c r="F94"/>
  <c r="BJ93"/>
  <c r="BI93" s="1"/>
  <c r="BE93"/>
  <c r="BD93"/>
  <c r="BC93" s="1"/>
  <c r="AI93"/>
  <c r="AG93"/>
  <c r="AC93"/>
  <c r="AB93" s="1"/>
  <c r="W93"/>
  <c r="V93"/>
  <c r="R93"/>
  <c r="U93" s="1"/>
  <c r="F93"/>
  <c r="O93" s="1"/>
  <c r="BJ92"/>
  <c r="BI92" s="1"/>
  <c r="BE92"/>
  <c r="BD92"/>
  <c r="AC92"/>
  <c r="AB92" s="1"/>
  <c r="W92"/>
  <c r="V92" s="1"/>
  <c r="Q92" s="1"/>
  <c r="R92"/>
  <c r="F92"/>
  <c r="O92" s="1"/>
  <c r="BX91"/>
  <c r="BW91"/>
  <c r="BI91" s="1"/>
  <c r="BJ91"/>
  <c r="BE91"/>
  <c r="BD91"/>
  <c r="AI91"/>
  <c r="AV91" s="1"/>
  <c r="AW91" s="1"/>
  <c r="AF91"/>
  <c r="AC91"/>
  <c r="AB91" s="1"/>
  <c r="W91"/>
  <c r="V91" s="1"/>
  <c r="R91"/>
  <c r="U91" s="1"/>
  <c r="AP91" s="1"/>
  <c r="AQ91" s="1"/>
  <c r="F91"/>
  <c r="O91" s="1"/>
  <c r="BJ90"/>
  <c r="BI90" s="1"/>
  <c r="BE90"/>
  <c r="BD90"/>
  <c r="AI90"/>
  <c r="AF90"/>
  <c r="AC90"/>
  <c r="W90"/>
  <c r="AT90" s="1"/>
  <c r="AU90" s="1"/>
  <c r="R90"/>
  <c r="U90" s="1"/>
  <c r="F90"/>
  <c r="O90" s="1"/>
  <c r="BW89"/>
  <c r="BJ89"/>
  <c r="BI89" s="1"/>
  <c r="BE89"/>
  <c r="BC89" s="1"/>
  <c r="BD89"/>
  <c r="AI89"/>
  <c r="AV89" s="1"/>
  <c r="AW89" s="1"/>
  <c r="AF89"/>
  <c r="AC89"/>
  <c r="W89"/>
  <c r="V89" s="1"/>
  <c r="U89"/>
  <c r="AP89" s="1"/>
  <c r="AQ89" s="1"/>
  <c r="R89"/>
  <c r="F89"/>
  <c r="O89" s="1"/>
  <c r="BJ88"/>
  <c r="BI88" s="1"/>
  <c r="BE88"/>
  <c r="BD88"/>
  <c r="AW88"/>
  <c r="AI88"/>
  <c r="AV88" s="1"/>
  <c r="AF88"/>
  <c r="AC88"/>
  <c r="AB88" s="1"/>
  <c r="W88"/>
  <c r="V88" s="1"/>
  <c r="R88"/>
  <c r="U88" s="1"/>
  <c r="F88"/>
  <c r="O88" s="1"/>
  <c r="BW87"/>
  <c r="BW160" s="1"/>
  <c r="BW164" s="1"/>
  <c r="BJ87"/>
  <c r="BE87"/>
  <c r="BD87"/>
  <c r="BC87" s="1"/>
  <c r="AZ87"/>
  <c r="AZ160" s="1"/>
  <c r="AZ164" s="1"/>
  <c r="AI87"/>
  <c r="AV87" s="1"/>
  <c r="AW87" s="1"/>
  <c r="AF87"/>
  <c r="AC87"/>
  <c r="W87"/>
  <c r="AP87" s="1"/>
  <c r="AQ87" s="1"/>
  <c r="U87"/>
  <c r="R87"/>
  <c r="F87"/>
  <c r="O87" s="1"/>
  <c r="BJ86"/>
  <c r="BI86" s="1"/>
  <c r="BE86"/>
  <c r="BD86"/>
  <c r="BC86" s="1"/>
  <c r="AI86"/>
  <c r="AV86" s="1"/>
  <c r="AW86" s="1"/>
  <c r="AF86"/>
  <c r="AC86"/>
  <c r="W86"/>
  <c r="V86" s="1"/>
  <c r="U86"/>
  <c r="AP86" s="1"/>
  <c r="AQ86" s="1"/>
  <c r="R86"/>
  <c r="F86"/>
  <c r="O86" s="1"/>
  <c r="BJ85"/>
  <c r="BI85" s="1"/>
  <c r="BE85"/>
  <c r="BD85"/>
  <c r="AI85"/>
  <c r="AV85" s="1"/>
  <c r="AW85" s="1"/>
  <c r="AF85"/>
  <c r="AC85"/>
  <c r="W85"/>
  <c r="R85"/>
  <c r="U85" s="1"/>
  <c r="AM85" s="1"/>
  <c r="O85"/>
  <c r="F85"/>
  <c r="BJ84"/>
  <c r="BI84" s="1"/>
  <c r="BE84"/>
  <c r="BD84"/>
  <c r="AI84"/>
  <c r="AV84" s="1"/>
  <c r="AW84" s="1"/>
  <c r="AF84"/>
  <c r="AC84"/>
  <c r="W84"/>
  <c r="V84" s="1"/>
  <c r="R84"/>
  <c r="U84" s="1"/>
  <c r="AP84" s="1"/>
  <c r="AQ84" s="1"/>
  <c r="O84"/>
  <c r="F84"/>
  <c r="BJ83"/>
  <c r="BI83" s="1"/>
  <c r="BF83"/>
  <c r="BF160" s="1"/>
  <c r="BF164" s="1"/>
  <c r="BD83"/>
  <c r="AI83"/>
  <c r="AV83" s="1"/>
  <c r="AW83" s="1"/>
  <c r="AG83"/>
  <c r="AF83" s="1"/>
  <c r="AC83"/>
  <c r="AB83" s="1"/>
  <c r="W83"/>
  <c r="V83" s="1"/>
  <c r="R83"/>
  <c r="U83" s="1"/>
  <c r="F83"/>
  <c r="O83" s="1"/>
  <c r="BJ82"/>
  <c r="BI82" s="1"/>
  <c r="BE82"/>
  <c r="BC82" s="1"/>
  <c r="BD82"/>
  <c r="AI82"/>
  <c r="AV82" s="1"/>
  <c r="AW82" s="1"/>
  <c r="AF82"/>
  <c r="AC82"/>
  <c r="W82"/>
  <c r="V82" s="1"/>
  <c r="U82"/>
  <c r="AP82" s="1"/>
  <c r="AQ82" s="1"/>
  <c r="R82"/>
  <c r="F82"/>
  <c r="O82" s="1"/>
  <c r="BJ81"/>
  <c r="BI81" s="1"/>
  <c r="BE81"/>
  <c r="BD81"/>
  <c r="AW81"/>
  <c r="AI81"/>
  <c r="AV81" s="1"/>
  <c r="AF81"/>
  <c r="AC81"/>
  <c r="AB81" s="1"/>
  <c r="W81"/>
  <c r="V81" s="1"/>
  <c r="R81"/>
  <c r="U81" s="1"/>
  <c r="F81"/>
  <c r="O81" s="1"/>
  <c r="BJ80"/>
  <c r="BI80" s="1"/>
  <c r="BE80"/>
  <c r="BC80" s="1"/>
  <c r="BD80"/>
  <c r="AI80"/>
  <c r="AV80" s="1"/>
  <c r="AW80" s="1"/>
  <c r="AF80"/>
  <c r="AC80"/>
  <c r="W80"/>
  <c r="V80" s="1"/>
  <c r="U80"/>
  <c r="AP80" s="1"/>
  <c r="AQ80" s="1"/>
  <c r="R80"/>
  <c r="F80"/>
  <c r="O80" s="1"/>
  <c r="BJ79"/>
  <c r="BI79" s="1"/>
  <c r="BE79"/>
  <c r="BD79"/>
  <c r="AW79"/>
  <c r="AI79"/>
  <c r="AV79" s="1"/>
  <c r="AF79"/>
  <c r="AC79"/>
  <c r="AB79" s="1"/>
  <c r="W79"/>
  <c r="V79" s="1"/>
  <c r="R79"/>
  <c r="U79" s="1"/>
  <c r="F79"/>
  <c r="O79" s="1"/>
  <c r="BJ78"/>
  <c r="BI78" s="1"/>
  <c r="BE78"/>
  <c r="AF78"/>
  <c r="AC78"/>
  <c r="AB78" s="1"/>
  <c r="W78"/>
  <c r="V78" s="1"/>
  <c r="U78"/>
  <c r="R78"/>
  <c r="N78"/>
  <c r="I78"/>
  <c r="AI78" s="1"/>
  <c r="BJ77"/>
  <c r="BI77" s="1"/>
  <c r="BE77"/>
  <c r="AF77"/>
  <c r="AC77"/>
  <c r="W77"/>
  <c r="R77"/>
  <c r="U77" s="1"/>
  <c r="N77"/>
  <c r="I77"/>
  <c r="BD77" s="1"/>
  <c r="BC77" s="1"/>
  <c r="BJ76"/>
  <c r="BI76"/>
  <c r="BE76"/>
  <c r="BC76" s="1"/>
  <c r="BD76"/>
  <c r="AI76"/>
  <c r="AV76" s="1"/>
  <c r="AW76" s="1"/>
  <c r="AF76"/>
  <c r="AC76"/>
  <c r="W76"/>
  <c r="V76" s="1"/>
  <c r="R76"/>
  <c r="U76" s="1"/>
  <c r="N76"/>
  <c r="F76"/>
  <c r="BJ75"/>
  <c r="BI75" s="1"/>
  <c r="BE75"/>
  <c r="BD75"/>
  <c r="BC75" s="1"/>
  <c r="AV75"/>
  <c r="AW75" s="1"/>
  <c r="AI75"/>
  <c r="AF75"/>
  <c r="AC75"/>
  <c r="AB75" s="1"/>
  <c r="W75"/>
  <c r="V75"/>
  <c r="R75"/>
  <c r="U75" s="1"/>
  <c r="O75"/>
  <c r="F75"/>
  <c r="BJ74"/>
  <c r="BI74" s="1"/>
  <c r="BE74"/>
  <c r="BD74"/>
  <c r="AI74"/>
  <c r="AF74"/>
  <c r="AC74"/>
  <c r="AB74" s="1"/>
  <c r="W74"/>
  <c r="V74" s="1"/>
  <c r="R74"/>
  <c r="U74" s="1"/>
  <c r="O74"/>
  <c r="N74"/>
  <c r="F74"/>
  <c r="BJ73"/>
  <c r="BI73" s="1"/>
  <c r="BE73"/>
  <c r="BD73"/>
  <c r="AI73"/>
  <c r="AV73" s="1"/>
  <c r="AW73" s="1"/>
  <c r="AF73"/>
  <c r="AC73"/>
  <c r="W73"/>
  <c r="V73" s="1"/>
  <c r="R73"/>
  <c r="U73" s="1"/>
  <c r="AP73" s="1"/>
  <c r="AQ73" s="1"/>
  <c r="O73"/>
  <c r="F73"/>
  <c r="BJ72"/>
  <c r="BI72" s="1"/>
  <c r="BE72"/>
  <c r="BD72"/>
  <c r="AI72"/>
  <c r="AV72" s="1"/>
  <c r="AW72" s="1"/>
  <c r="AF72"/>
  <c r="AC72"/>
  <c r="W72"/>
  <c r="R72"/>
  <c r="U72" s="1"/>
  <c r="AM72" s="1"/>
  <c r="N72"/>
  <c r="F72"/>
  <c r="BJ71"/>
  <c r="BI71"/>
  <c r="BE71"/>
  <c r="AF71"/>
  <c r="AC71"/>
  <c r="AB71" s="1"/>
  <c r="R71"/>
  <c r="U71" s="1"/>
  <c r="I71"/>
  <c r="BD71" s="1"/>
  <c r="BC71" s="1"/>
  <c r="G71"/>
  <c r="W71" s="1"/>
  <c r="BJ70"/>
  <c r="BI70" s="1"/>
  <c r="BE70"/>
  <c r="AF70"/>
  <c r="AC70"/>
  <c r="W70"/>
  <c r="V70"/>
  <c r="U70"/>
  <c r="AP70" s="1"/>
  <c r="AQ70" s="1"/>
  <c r="R70"/>
  <c r="N70"/>
  <c r="I70"/>
  <c r="AI70" s="1"/>
  <c r="AV70" s="1"/>
  <c r="AW70" s="1"/>
  <c r="BJ69"/>
  <c r="BI69"/>
  <c r="BE69"/>
  <c r="BD69"/>
  <c r="AI69"/>
  <c r="AV69" s="1"/>
  <c r="AW69" s="1"/>
  <c r="AF69"/>
  <c r="AC69"/>
  <c r="AB69" s="1"/>
  <c r="W69"/>
  <c r="R69"/>
  <c r="U69" s="1"/>
  <c r="AJ69" s="1"/>
  <c r="AK69" s="1"/>
  <c r="N69"/>
  <c r="F69"/>
  <c r="BJ68"/>
  <c r="BI68" s="1"/>
  <c r="BE68"/>
  <c r="BD68"/>
  <c r="BC68" s="1"/>
  <c r="AI68"/>
  <c r="AV68" s="1"/>
  <c r="AW68" s="1"/>
  <c r="AF68"/>
  <c r="AC68"/>
  <c r="W68"/>
  <c r="V68" s="1"/>
  <c r="R68"/>
  <c r="U68" s="1"/>
  <c r="AP68" s="1"/>
  <c r="AQ68" s="1"/>
  <c r="O68"/>
  <c r="N68"/>
  <c r="F68"/>
  <c r="BJ67"/>
  <c r="BI67" s="1"/>
  <c r="BE67"/>
  <c r="AF67"/>
  <c r="AC67"/>
  <c r="W67"/>
  <c r="V67"/>
  <c r="U67"/>
  <c r="R67"/>
  <c r="N67"/>
  <c r="I67"/>
  <c r="AI67" s="1"/>
  <c r="F67"/>
  <c r="O67" s="1"/>
  <c r="BJ66"/>
  <c r="BI66" s="1"/>
  <c r="BE66"/>
  <c r="BD66"/>
  <c r="BC66" s="1"/>
  <c r="AI66"/>
  <c r="AV66" s="1"/>
  <c r="AW66" s="1"/>
  <c r="AF66"/>
  <c r="AB66" s="1"/>
  <c r="AC66"/>
  <c r="W66"/>
  <c r="V66"/>
  <c r="R66"/>
  <c r="U66" s="1"/>
  <c r="AP66" s="1"/>
  <c r="AQ66" s="1"/>
  <c r="F66"/>
  <c r="O66" s="1"/>
  <c r="BJ65"/>
  <c r="BI65"/>
  <c r="BE65"/>
  <c r="AF65"/>
  <c r="AC65"/>
  <c r="W65"/>
  <c r="R65"/>
  <c r="U65" s="1"/>
  <c r="I65"/>
  <c r="BD65" s="1"/>
  <c r="BC65" s="1"/>
  <c r="BP64"/>
  <c r="BP160" s="1"/>
  <c r="BP164" s="1"/>
  <c r="BJ64"/>
  <c r="BE64"/>
  <c r="BD64"/>
  <c r="BC64" s="1"/>
  <c r="AV64"/>
  <c r="AW64" s="1"/>
  <c r="AI64"/>
  <c r="AF64"/>
  <c r="AC64"/>
  <c r="AB64" s="1"/>
  <c r="W64"/>
  <c r="V64"/>
  <c r="R64"/>
  <c r="U64" s="1"/>
  <c r="O64"/>
  <c r="F64"/>
  <c r="BJ63"/>
  <c r="BI63" s="1"/>
  <c r="BE63"/>
  <c r="BD63"/>
  <c r="AI63"/>
  <c r="AF63"/>
  <c r="AC63"/>
  <c r="AB63" s="1"/>
  <c r="W63"/>
  <c r="V63" s="1"/>
  <c r="R63"/>
  <c r="U63" s="1"/>
  <c r="O63"/>
  <c r="F63"/>
  <c r="BJ62"/>
  <c r="BI62" s="1"/>
  <c r="BE62"/>
  <c r="BD62"/>
  <c r="BC62" s="1"/>
  <c r="AI62"/>
  <c r="AF62"/>
  <c r="AC62"/>
  <c r="W62"/>
  <c r="R62"/>
  <c r="U62" s="1"/>
  <c r="AP62" s="1"/>
  <c r="AQ62" s="1"/>
  <c r="O62"/>
  <c r="F62"/>
  <c r="BJ61"/>
  <c r="BI61" s="1"/>
  <c r="BE61"/>
  <c r="BD61"/>
  <c r="AI61"/>
  <c r="AV61" s="1"/>
  <c r="AW61" s="1"/>
  <c r="AF61"/>
  <c r="AC61"/>
  <c r="AB61" s="1"/>
  <c r="W61"/>
  <c r="R61"/>
  <c r="U61" s="1"/>
  <c r="AP61" s="1"/>
  <c r="AQ61" s="1"/>
  <c r="O61"/>
  <c r="F61"/>
  <c r="BJ60"/>
  <c r="BI60" s="1"/>
  <c r="BE60"/>
  <c r="BD60"/>
  <c r="BC60" s="1"/>
  <c r="AI60"/>
  <c r="AV60" s="1"/>
  <c r="AW60" s="1"/>
  <c r="AF60"/>
  <c r="AC60"/>
  <c r="AB60" s="1"/>
  <c r="W60"/>
  <c r="AM60" s="1"/>
  <c r="U60"/>
  <c r="R60"/>
  <c r="F60"/>
  <c r="O60" s="1"/>
  <c r="BJ59"/>
  <c r="BI59" s="1"/>
  <c r="BE59"/>
  <c r="BD59"/>
  <c r="BC59" s="1"/>
  <c r="AI59"/>
  <c r="AV59" s="1"/>
  <c r="AW59" s="1"/>
  <c r="AF59"/>
  <c r="AC59"/>
  <c r="W59"/>
  <c r="U59"/>
  <c r="AP59" s="1"/>
  <c r="AQ59" s="1"/>
  <c r="R59"/>
  <c r="F59"/>
  <c r="O59" s="1"/>
  <c r="BJ58"/>
  <c r="BI58" s="1"/>
  <c r="BE58"/>
  <c r="BD58"/>
  <c r="AI58"/>
  <c r="AV58" s="1"/>
  <c r="AW58" s="1"/>
  <c r="AF58"/>
  <c r="AC58"/>
  <c r="W58"/>
  <c r="R58"/>
  <c r="U58" s="1"/>
  <c r="AP58" s="1"/>
  <c r="AQ58" s="1"/>
  <c r="O58"/>
  <c r="F58"/>
  <c r="BJ57"/>
  <c r="BI57" s="1"/>
  <c r="BE57"/>
  <c r="AI57"/>
  <c r="AV57" s="1"/>
  <c r="AW57" s="1"/>
  <c r="AF57"/>
  <c r="AC57"/>
  <c r="AB57" s="1"/>
  <c r="U57"/>
  <c r="R57"/>
  <c r="J57"/>
  <c r="J160" s="1"/>
  <c r="J164" s="1"/>
  <c r="G57"/>
  <c r="G160" s="1"/>
  <c r="G164" s="1"/>
  <c r="BJ56"/>
  <c r="BI56" s="1"/>
  <c r="BE56"/>
  <c r="AG56"/>
  <c r="AF56"/>
  <c r="AC56"/>
  <c r="AB56" s="1"/>
  <c r="W56"/>
  <c r="V56" s="1"/>
  <c r="R56"/>
  <c r="U56" s="1"/>
  <c r="I56"/>
  <c r="AI56" s="1"/>
  <c r="BJ55"/>
  <c r="BI55" s="1"/>
  <c r="BE55"/>
  <c r="BD55"/>
  <c r="BC55" s="1"/>
  <c r="AI55"/>
  <c r="AV55" s="1"/>
  <c r="AW55" s="1"/>
  <c r="AF55"/>
  <c r="AC55"/>
  <c r="AB55" s="1"/>
  <c r="W55"/>
  <c r="AM55" s="1"/>
  <c r="U55"/>
  <c r="R55"/>
  <c r="I55"/>
  <c r="F55"/>
  <c r="O55" s="1"/>
  <c r="BJ54"/>
  <c r="BI54" s="1"/>
  <c r="BE54"/>
  <c r="BD54"/>
  <c r="BC54" s="1"/>
  <c r="AI54"/>
  <c r="AV54" s="1"/>
  <c r="AW54" s="1"/>
  <c r="AF54"/>
  <c r="AC54"/>
  <c r="AB54"/>
  <c r="W54"/>
  <c r="V54" s="1"/>
  <c r="R54"/>
  <c r="U54" s="1"/>
  <c r="F54"/>
  <c r="O54" s="1"/>
  <c r="BJ53"/>
  <c r="BI53" s="1"/>
  <c r="BE53"/>
  <c r="AF53"/>
  <c r="AC53"/>
  <c r="AB53" s="1"/>
  <c r="W53"/>
  <c r="V53" s="1"/>
  <c r="R53"/>
  <c r="U53" s="1"/>
  <c r="I53"/>
  <c r="BD53" s="1"/>
  <c r="BC53" s="1"/>
  <c r="BJ52"/>
  <c r="BI52" s="1"/>
  <c r="BE52"/>
  <c r="AF52"/>
  <c r="AC52"/>
  <c r="AB52" s="1"/>
  <c r="W52"/>
  <c r="V52" s="1"/>
  <c r="R52"/>
  <c r="U52" s="1"/>
  <c r="AN52" s="1"/>
  <c r="AO52" s="1"/>
  <c r="I52"/>
  <c r="AI52" s="1"/>
  <c r="BJ51"/>
  <c r="BI51" s="1"/>
  <c r="BE51"/>
  <c r="AF51"/>
  <c r="AC51"/>
  <c r="W51"/>
  <c r="V51"/>
  <c r="U51"/>
  <c r="R51"/>
  <c r="N51"/>
  <c r="I51"/>
  <c r="BD51" s="1"/>
  <c r="BC51" s="1"/>
  <c r="F51"/>
  <c r="O51" s="1"/>
  <c r="BJ50"/>
  <c r="BI50" s="1"/>
  <c r="BE50"/>
  <c r="BD50"/>
  <c r="BC50" s="1"/>
  <c r="AI50"/>
  <c r="AV50" s="1"/>
  <c r="AW50" s="1"/>
  <c r="AF50"/>
  <c r="AC50"/>
  <c r="AX50" s="1"/>
  <c r="W50"/>
  <c r="V50" s="1"/>
  <c r="R50"/>
  <c r="U50" s="1"/>
  <c r="F50"/>
  <c r="O50" s="1"/>
  <c r="BJ49"/>
  <c r="BI49" s="1"/>
  <c r="BE49"/>
  <c r="BD49"/>
  <c r="BC49" s="1"/>
  <c r="AI49"/>
  <c r="AV49" s="1"/>
  <c r="AW49" s="1"/>
  <c r="AF49"/>
  <c r="AC49"/>
  <c r="AB49"/>
  <c r="W49"/>
  <c r="V49" s="1"/>
  <c r="R49"/>
  <c r="U49" s="1"/>
  <c r="F49"/>
  <c r="O49" s="1"/>
  <c r="BJ48"/>
  <c r="BI48" s="1"/>
  <c r="BE48"/>
  <c r="BD48"/>
  <c r="BC48" s="1"/>
  <c r="AI48"/>
  <c r="AV48" s="1"/>
  <c r="AW48" s="1"/>
  <c r="AF48"/>
  <c r="AC48"/>
  <c r="AJ48" s="1"/>
  <c r="AK48" s="1"/>
  <c r="W48"/>
  <c r="V48" s="1"/>
  <c r="R48"/>
  <c r="U48" s="1"/>
  <c r="F48"/>
  <c r="O48" s="1"/>
  <c r="BJ47"/>
  <c r="BI47" s="1"/>
  <c r="BE47"/>
  <c r="BD47"/>
  <c r="BC47" s="1"/>
  <c r="AI47"/>
  <c r="AV47" s="1"/>
  <c r="AW47" s="1"/>
  <c r="AF47"/>
  <c r="AC47"/>
  <c r="AB47" s="1"/>
  <c r="W47"/>
  <c r="V47" s="1"/>
  <c r="R47"/>
  <c r="U47" s="1"/>
  <c r="AJ47" s="1"/>
  <c r="AK47" s="1"/>
  <c r="F47"/>
  <c r="O47" s="1"/>
  <c r="BJ46"/>
  <c r="BI46"/>
  <c r="BE46"/>
  <c r="BD46"/>
  <c r="AI46"/>
  <c r="AV46" s="1"/>
  <c r="AW46" s="1"/>
  <c r="AF46"/>
  <c r="AC46"/>
  <c r="AB46" s="1"/>
  <c r="W46"/>
  <c r="V46" s="1"/>
  <c r="R46"/>
  <c r="U46" s="1"/>
  <c r="AJ46" s="1"/>
  <c r="AK46" s="1"/>
  <c r="F46"/>
  <c r="O46" s="1"/>
  <c r="BJ45"/>
  <c r="BI45"/>
  <c r="BE45"/>
  <c r="BD45"/>
  <c r="AI45"/>
  <c r="AV45" s="1"/>
  <c r="AW45" s="1"/>
  <c r="AF45"/>
  <c r="AC45"/>
  <c r="AB45" s="1"/>
  <c r="W45"/>
  <c r="V45" s="1"/>
  <c r="R45"/>
  <c r="U45" s="1"/>
  <c r="F45"/>
  <c r="O45" s="1"/>
  <c r="BJ44"/>
  <c r="BI44" s="1"/>
  <c r="BE44"/>
  <c r="BD44"/>
  <c r="BC44" s="1"/>
  <c r="AI44"/>
  <c r="AV44" s="1"/>
  <c r="AW44" s="1"/>
  <c r="AF44"/>
  <c r="AC44"/>
  <c r="AB44" s="1"/>
  <c r="W44"/>
  <c r="V44" s="1"/>
  <c r="R44"/>
  <c r="U44" s="1"/>
  <c r="AJ44" s="1"/>
  <c r="AK44" s="1"/>
  <c r="F44"/>
  <c r="O44" s="1"/>
  <c r="BJ43"/>
  <c r="BI43"/>
  <c r="BE43"/>
  <c r="BD43"/>
  <c r="AI43"/>
  <c r="AV43" s="1"/>
  <c r="AW43" s="1"/>
  <c r="AF43"/>
  <c r="AB43" s="1"/>
  <c r="AC43"/>
  <c r="W43"/>
  <c r="V43" s="1"/>
  <c r="R43"/>
  <c r="U43" s="1"/>
  <c r="AX43" s="1"/>
  <c r="F43"/>
  <c r="O43" s="1"/>
  <c r="BJ42"/>
  <c r="BI42"/>
  <c r="BE42"/>
  <c r="BD42"/>
  <c r="AI42"/>
  <c r="AG42"/>
  <c r="AF42" s="1"/>
  <c r="AC42"/>
  <c r="AB42"/>
  <c r="W42"/>
  <c r="V42" s="1"/>
  <c r="R42"/>
  <c r="U42" s="1"/>
  <c r="O42"/>
  <c r="F42"/>
  <c r="BJ41"/>
  <c r="BI41" s="1"/>
  <c r="BE41"/>
  <c r="BD41"/>
  <c r="BC41" s="1"/>
  <c r="AI41"/>
  <c r="AF41"/>
  <c r="AC41"/>
  <c r="AB41" s="1"/>
  <c r="W41"/>
  <c r="V41" s="1"/>
  <c r="R41"/>
  <c r="U41" s="1"/>
  <c r="F41"/>
  <c r="O41" s="1"/>
  <c r="BJ40"/>
  <c r="BI40" s="1"/>
  <c r="BG40"/>
  <c r="BE40"/>
  <c r="BD40"/>
  <c r="BC40" s="1"/>
  <c r="AI40"/>
  <c r="AV40" s="1"/>
  <c r="AW40" s="1"/>
  <c r="AF40"/>
  <c r="AC40"/>
  <c r="W40"/>
  <c r="V40"/>
  <c r="U40"/>
  <c r="R40"/>
  <c r="F40"/>
  <c r="O40" s="1"/>
  <c r="BJ39"/>
  <c r="BI39" s="1"/>
  <c r="BE39"/>
  <c r="BD39"/>
  <c r="BC39" s="1"/>
  <c r="AV39"/>
  <c r="AW39" s="1"/>
  <c r="AI39"/>
  <c r="AF39"/>
  <c r="AC39"/>
  <c r="W39"/>
  <c r="V39" s="1"/>
  <c r="R39"/>
  <c r="U39" s="1"/>
  <c r="O39"/>
  <c r="F39"/>
  <c r="BJ38"/>
  <c r="BI38" s="1"/>
  <c r="BE38"/>
  <c r="BD38"/>
  <c r="BC38" s="1"/>
  <c r="AV38"/>
  <c r="AW38" s="1"/>
  <c r="AI38"/>
  <c r="AF38"/>
  <c r="AC38"/>
  <c r="W38"/>
  <c r="V38" s="1"/>
  <c r="R38"/>
  <c r="U38" s="1"/>
  <c r="AM38" s="1"/>
  <c r="O38"/>
  <c r="F38"/>
  <c r="BJ37"/>
  <c r="BI37" s="1"/>
  <c r="BE37"/>
  <c r="BD37"/>
  <c r="AI37"/>
  <c r="AS37" s="1"/>
  <c r="AF37"/>
  <c r="AC37"/>
  <c r="W37"/>
  <c r="V37"/>
  <c r="U37"/>
  <c r="AM37" s="1"/>
  <c r="R37"/>
  <c r="F37"/>
  <c r="O37" s="1"/>
  <c r="BJ36"/>
  <c r="BI36" s="1"/>
  <c r="BE36"/>
  <c r="BD36"/>
  <c r="BC36"/>
  <c r="AV36"/>
  <c r="AW36" s="1"/>
  <c r="AI36"/>
  <c r="AF36"/>
  <c r="AC36"/>
  <c r="W36"/>
  <c r="V36" s="1"/>
  <c r="R36"/>
  <c r="U36" s="1"/>
  <c r="O36"/>
  <c r="F36"/>
  <c r="BJ35"/>
  <c r="BI35" s="1"/>
  <c r="BE35"/>
  <c r="BD35"/>
  <c r="AI35"/>
  <c r="AV35" s="1"/>
  <c r="AW35" s="1"/>
  <c r="AF35"/>
  <c r="AC35"/>
  <c r="AB35" s="1"/>
  <c r="W35"/>
  <c r="V35"/>
  <c r="R35"/>
  <c r="U35" s="1"/>
  <c r="F35"/>
  <c r="O35" s="1"/>
  <c r="BJ34"/>
  <c r="BI34" s="1"/>
  <c r="BE34"/>
  <c r="BD34"/>
  <c r="AI34"/>
  <c r="AF34"/>
  <c r="AC34"/>
  <c r="W34"/>
  <c r="V34"/>
  <c r="U34"/>
  <c r="AP34" s="1"/>
  <c r="AQ34" s="1"/>
  <c r="R34"/>
  <c r="F34"/>
  <c r="O34" s="1"/>
  <c r="BJ33"/>
  <c r="BI33" s="1"/>
  <c r="BE33"/>
  <c r="BC33" s="1"/>
  <c r="BD33"/>
  <c r="AI33"/>
  <c r="AF33"/>
  <c r="AC33"/>
  <c r="W33"/>
  <c r="V33"/>
  <c r="T33"/>
  <c r="F33"/>
  <c r="O33" s="1"/>
  <c r="BJ32"/>
  <c r="BI32" s="1"/>
  <c r="BE32"/>
  <c r="BC32" s="1"/>
  <c r="BD32"/>
  <c r="AI32"/>
  <c r="AV32" s="1"/>
  <c r="AW32" s="1"/>
  <c r="AF32"/>
  <c r="AB32" s="1"/>
  <c r="W32"/>
  <c r="V32"/>
  <c r="R32"/>
  <c r="U32" s="1"/>
  <c r="F32"/>
  <c r="O32" s="1"/>
  <c r="BJ31"/>
  <c r="BI31" s="1"/>
  <c r="BE31"/>
  <c r="BD31"/>
  <c r="AI31"/>
  <c r="AV31" s="1"/>
  <c r="AW31" s="1"/>
  <c r="AF31"/>
  <c r="AB31" s="1"/>
  <c r="W31"/>
  <c r="V31" s="1"/>
  <c r="R31"/>
  <c r="U31" s="1"/>
  <c r="AN31" s="1"/>
  <c r="AO31" s="1"/>
  <c r="F31"/>
  <c r="O31" s="1"/>
  <c r="BJ30"/>
  <c r="BI30" s="1"/>
  <c r="BE30"/>
  <c r="BD30"/>
  <c r="AW30"/>
  <c r="AI30"/>
  <c r="AV30" s="1"/>
  <c r="AF30"/>
  <c r="AB30"/>
  <c r="W30"/>
  <c r="V30" s="1"/>
  <c r="R30"/>
  <c r="U30" s="1"/>
  <c r="F30"/>
  <c r="O30" s="1"/>
  <c r="BJ29"/>
  <c r="BI29" s="1"/>
  <c r="BE29"/>
  <c r="BD29"/>
  <c r="AI29"/>
  <c r="AV29" s="1"/>
  <c r="AW29" s="1"/>
  <c r="AF29"/>
  <c r="AB29" s="1"/>
  <c r="AC29"/>
  <c r="W29"/>
  <c r="V29" s="1"/>
  <c r="R29"/>
  <c r="U29" s="1"/>
  <c r="F29"/>
  <c r="O29" s="1"/>
  <c r="BJ28"/>
  <c r="BI28"/>
  <c r="BE28"/>
  <c r="BD28"/>
  <c r="AI28"/>
  <c r="AF28"/>
  <c r="AB28" s="1"/>
  <c r="AC28"/>
  <c r="W28"/>
  <c r="R28"/>
  <c r="U28" s="1"/>
  <c r="F28"/>
  <c r="O28" s="1"/>
  <c r="BJ27"/>
  <c r="BI27" s="1"/>
  <c r="BE27"/>
  <c r="BD27"/>
  <c r="AI27"/>
  <c r="AV27" s="1"/>
  <c r="AW27" s="1"/>
  <c r="AF27"/>
  <c r="AC27"/>
  <c r="AB27"/>
  <c r="W27"/>
  <c r="V27" s="1"/>
  <c r="R27"/>
  <c r="U27" s="1"/>
  <c r="F27"/>
  <c r="O27" s="1"/>
  <c r="BX26"/>
  <c r="BX160" s="1"/>
  <c r="BX164" s="1"/>
  <c r="BJ26"/>
  <c r="BI26" s="1"/>
  <c r="BG26"/>
  <c r="BE26"/>
  <c r="BD26"/>
  <c r="BC26" s="1"/>
  <c r="AV26"/>
  <c r="AW26" s="1"/>
  <c r="AI26"/>
  <c r="AF26"/>
  <c r="AC26"/>
  <c r="AB26" s="1"/>
  <c r="W26"/>
  <c r="V26" s="1"/>
  <c r="R26"/>
  <c r="U26" s="1"/>
  <c r="O26"/>
  <c r="F26"/>
  <c r="BJ25"/>
  <c r="BI25"/>
  <c r="BE25"/>
  <c r="BD25"/>
  <c r="AI25"/>
  <c r="AV25" s="1"/>
  <c r="AW25" s="1"/>
  <c r="AF25"/>
  <c r="AC25"/>
  <c r="W25"/>
  <c r="V25"/>
  <c r="U25"/>
  <c r="R25"/>
  <c r="F25"/>
  <c r="O25" s="1"/>
  <c r="BJ24"/>
  <c r="BI24" s="1"/>
  <c r="BE24"/>
  <c r="BD24"/>
  <c r="AI24"/>
  <c r="AV24" s="1"/>
  <c r="AW24" s="1"/>
  <c r="AF24"/>
  <c r="AB24" s="1"/>
  <c r="AC24"/>
  <c r="W24"/>
  <c r="V24" s="1"/>
  <c r="R24"/>
  <c r="U24" s="1"/>
  <c r="F24"/>
  <c r="O24" s="1"/>
  <c r="BJ23"/>
  <c r="BI23" s="1"/>
  <c r="BE23"/>
  <c r="BD23"/>
  <c r="BC23" s="1"/>
  <c r="AI23"/>
  <c r="AS23" s="1"/>
  <c r="AF23"/>
  <c r="AC23"/>
  <c r="W23"/>
  <c r="V23"/>
  <c r="U23"/>
  <c r="AM23" s="1"/>
  <c r="R23"/>
  <c r="F23"/>
  <c r="O23" s="1"/>
  <c r="BJ22"/>
  <c r="BI22" s="1"/>
  <c r="BE22"/>
  <c r="BD22"/>
  <c r="BC22"/>
  <c r="AI22"/>
  <c r="AV22" s="1"/>
  <c r="AW22" s="1"/>
  <c r="AF22"/>
  <c r="AC22"/>
  <c r="W22"/>
  <c r="V22"/>
  <c r="U22"/>
  <c r="AT22" s="1"/>
  <c r="AU22" s="1"/>
  <c r="R22"/>
  <c r="F22"/>
  <c r="O22" s="1"/>
  <c r="BJ21"/>
  <c r="BI21" s="1"/>
  <c r="BG21"/>
  <c r="BE21"/>
  <c r="BD21"/>
  <c r="BC21" s="1"/>
  <c r="AI21"/>
  <c r="AV21" s="1"/>
  <c r="AW21" s="1"/>
  <c r="AF21"/>
  <c r="AC21"/>
  <c r="AB21" s="1"/>
  <c r="W21"/>
  <c r="AP21" s="1"/>
  <c r="AQ21" s="1"/>
  <c r="U21"/>
  <c r="R21"/>
  <c r="F21"/>
  <c r="O21" s="1"/>
  <c r="BJ20"/>
  <c r="BI20" s="1"/>
  <c r="BE20"/>
  <c r="BD20"/>
  <c r="BC20" s="1"/>
  <c r="AI20"/>
  <c r="AS20" s="1"/>
  <c r="AF20"/>
  <c r="AC20"/>
  <c r="W20"/>
  <c r="V20"/>
  <c r="U20"/>
  <c r="R20"/>
  <c r="F20"/>
  <c r="O20" s="1"/>
  <c r="BJ19"/>
  <c r="BI19" s="1"/>
  <c r="BE19"/>
  <c r="BD19"/>
  <c r="BC19"/>
  <c r="AI19"/>
  <c r="AV19" s="1"/>
  <c r="AW19" s="1"/>
  <c r="AF19"/>
  <c r="AC19"/>
  <c r="W19"/>
  <c r="R19"/>
  <c r="U19" s="1"/>
  <c r="O19"/>
  <c r="F19"/>
  <c r="BJ18"/>
  <c r="BI18" s="1"/>
  <c r="BE18"/>
  <c r="BD18"/>
  <c r="AI18"/>
  <c r="AF18"/>
  <c r="AC18"/>
  <c r="W18"/>
  <c r="V18" s="1"/>
  <c r="R18"/>
  <c r="U18" s="1"/>
  <c r="O18"/>
  <c r="F18"/>
  <c r="BJ17"/>
  <c r="BI17" s="1"/>
  <c r="BE17"/>
  <c r="BD17"/>
  <c r="BC17" s="1"/>
  <c r="AI17"/>
  <c r="AV17" s="1"/>
  <c r="AW17" s="1"/>
  <c r="AF17"/>
  <c r="AC17"/>
  <c r="AB17" s="1"/>
  <c r="W17"/>
  <c r="AP17" s="1"/>
  <c r="AQ17" s="1"/>
  <c r="U17"/>
  <c r="R17"/>
  <c r="F17"/>
  <c r="O17" s="1"/>
  <c r="BJ16"/>
  <c r="BI16" s="1"/>
  <c r="BE16"/>
  <c r="BD16"/>
  <c r="BC16" s="1"/>
  <c r="AI16"/>
  <c r="AS16" s="1"/>
  <c r="AF16"/>
  <c r="AC16"/>
  <c r="W16"/>
  <c r="V16"/>
  <c r="U16"/>
  <c r="R16"/>
  <c r="F16"/>
  <c r="O16" s="1"/>
  <c r="BJ15"/>
  <c r="BI15" s="1"/>
  <c r="BE15"/>
  <c r="BD15"/>
  <c r="BC15"/>
  <c r="AI15"/>
  <c r="AV15" s="1"/>
  <c r="AW15" s="1"/>
  <c r="AF15"/>
  <c r="AC15"/>
  <c r="W15"/>
  <c r="R15"/>
  <c r="U15" s="1"/>
  <c r="O15"/>
  <c r="F15"/>
  <c r="BJ14"/>
  <c r="BI14" s="1"/>
  <c r="BE14"/>
  <c r="BD14"/>
  <c r="AI14"/>
  <c r="AF14"/>
  <c r="AC14"/>
  <c r="W14"/>
  <c r="V14" s="1"/>
  <c r="R14"/>
  <c r="U14" s="1"/>
  <c r="O14"/>
  <c r="F14"/>
  <c r="BJ13"/>
  <c r="BI13" s="1"/>
  <c r="BE13"/>
  <c r="BD13"/>
  <c r="BC13" s="1"/>
  <c r="AI13"/>
  <c r="AV13" s="1"/>
  <c r="AW13" s="1"/>
  <c r="AF13"/>
  <c r="AC13"/>
  <c r="AB13" s="1"/>
  <c r="W13"/>
  <c r="AP13" s="1"/>
  <c r="AQ13" s="1"/>
  <c r="U13"/>
  <c r="R13"/>
  <c r="F13"/>
  <c r="O13" s="1"/>
  <c r="BJ12"/>
  <c r="BI12" s="1"/>
  <c r="BE12"/>
  <c r="BD12"/>
  <c r="BC12" s="1"/>
  <c r="AI12"/>
  <c r="AF12"/>
  <c r="AB12" s="1"/>
  <c r="W12"/>
  <c r="V12"/>
  <c r="U12"/>
  <c r="R12"/>
  <c r="F12"/>
  <c r="O12" s="1"/>
  <c r="BJ11"/>
  <c r="BI11" s="1"/>
  <c r="BE11"/>
  <c r="BD11"/>
  <c r="BC11" s="1"/>
  <c r="AV11"/>
  <c r="AW11" s="1"/>
  <c r="AI11"/>
  <c r="AF11"/>
  <c r="AC11"/>
  <c r="AB11" s="1"/>
  <c r="W11"/>
  <c r="V11" s="1"/>
  <c r="R11"/>
  <c r="U11" s="1"/>
  <c r="AT11" s="1"/>
  <c r="AU11" s="1"/>
  <c r="F11"/>
  <c r="O11" s="1"/>
  <c r="BJ10"/>
  <c r="BI10" s="1"/>
  <c r="BE10"/>
  <c r="BD10"/>
  <c r="BC10" s="1"/>
  <c r="AV10"/>
  <c r="AW10" s="1"/>
  <c r="AI10"/>
  <c r="AF10"/>
  <c r="AC10"/>
  <c r="AB10"/>
  <c r="W10"/>
  <c r="V10" s="1"/>
  <c r="R10"/>
  <c r="U10" s="1"/>
  <c r="O10"/>
  <c r="F10"/>
  <c r="BJ9"/>
  <c r="BI9" s="1"/>
  <c r="BG9"/>
  <c r="BE9"/>
  <c r="BD9"/>
  <c r="AI9"/>
  <c r="AF9"/>
  <c r="AC9"/>
  <c r="W9"/>
  <c r="V9" s="1"/>
  <c r="R9"/>
  <c r="U9" s="1"/>
  <c r="O9"/>
  <c r="F9"/>
  <c r="BJ8"/>
  <c r="BI8" s="1"/>
  <c r="BE8"/>
  <c r="BD8"/>
  <c r="BC8" s="1"/>
  <c r="AI8"/>
  <c r="AS8" s="1"/>
  <c r="AF8"/>
  <c r="AC8"/>
  <c r="W8"/>
  <c r="AM8" s="1"/>
  <c r="U8"/>
  <c r="R8"/>
  <c r="F8"/>
  <c r="O8" s="1"/>
  <c r="BW163" i="5"/>
  <c r="BR163"/>
  <c r="BL163"/>
  <c r="BK163"/>
  <c r="BE163"/>
  <c r="BC163" s="1"/>
  <c r="AZ163"/>
  <c r="AS163"/>
  <c r="AD163"/>
  <c r="AC163"/>
  <c r="V163"/>
  <c r="R163"/>
  <c r="N163"/>
  <c r="L163"/>
  <c r="F163"/>
  <c r="BJ162"/>
  <c r="BI162" s="1"/>
  <c r="BE162"/>
  <c r="BC162" s="1"/>
  <c r="AI162"/>
  <c r="AF162"/>
  <c r="AC162"/>
  <c r="W162"/>
  <c r="V162" s="1"/>
  <c r="R162"/>
  <c r="U162" s="1"/>
  <c r="F162"/>
  <c r="O162" s="1"/>
  <c r="BW161"/>
  <c r="BT161"/>
  <c r="BJ161"/>
  <c r="BE161"/>
  <c r="BC161" s="1"/>
  <c r="AI161"/>
  <c r="AF161"/>
  <c r="AC161"/>
  <c r="W161"/>
  <c r="V161" s="1"/>
  <c r="R161"/>
  <c r="U161" s="1"/>
  <c r="F161"/>
  <c r="O161" s="1"/>
  <c r="CA160"/>
  <c r="CA164" s="1"/>
  <c r="BV160"/>
  <c r="BV164" s="1"/>
  <c r="BU160"/>
  <c r="BU164" s="1"/>
  <c r="BT160"/>
  <c r="BR160"/>
  <c r="BR164" s="1"/>
  <c r="BQ160"/>
  <c r="BQ164" s="1"/>
  <c r="BO160"/>
  <c r="BO164" s="1"/>
  <c r="BN160"/>
  <c r="BN164" s="1"/>
  <c r="BM160"/>
  <c r="BM164" s="1"/>
  <c r="BL160"/>
  <c r="BK160"/>
  <c r="BH160"/>
  <c r="BH164" s="1"/>
  <c r="BA160"/>
  <c r="BA164" s="1"/>
  <c r="AY160"/>
  <c r="AY164" s="1"/>
  <c r="AR160"/>
  <c r="AR164" s="1"/>
  <c r="AH160"/>
  <c r="AH164" s="1"/>
  <c r="AD160"/>
  <c r="AA160"/>
  <c r="AA164" s="1"/>
  <c r="Z160"/>
  <c r="Z164" s="1"/>
  <c r="Y160"/>
  <c r="Y164" s="1"/>
  <c r="X160"/>
  <c r="X164" s="1"/>
  <c r="S160"/>
  <c r="S164" s="1"/>
  <c r="M160"/>
  <c r="M164" s="1"/>
  <c r="L160"/>
  <c r="L164" s="1"/>
  <c r="H160"/>
  <c r="H164" s="1"/>
  <c r="BJ159"/>
  <c r="BI159" s="1"/>
  <c r="BE159"/>
  <c r="BD159"/>
  <c r="AI159"/>
  <c r="AF159"/>
  <c r="AC159"/>
  <c r="W159"/>
  <c r="R159"/>
  <c r="U159" s="1"/>
  <c r="F159"/>
  <c r="O159" s="1"/>
  <c r="BJ158"/>
  <c r="BI158" s="1"/>
  <c r="BE158"/>
  <c r="BD158"/>
  <c r="AI158"/>
  <c r="AV158" s="1"/>
  <c r="AW158" s="1"/>
  <c r="AF158"/>
  <c r="AC158"/>
  <c r="W158"/>
  <c r="V158" s="1"/>
  <c r="R158"/>
  <c r="U158" s="1"/>
  <c r="F158"/>
  <c r="O158" s="1"/>
  <c r="BJ157"/>
  <c r="BI157" s="1"/>
  <c r="BE157"/>
  <c r="BD157"/>
  <c r="AI157"/>
  <c r="AF157"/>
  <c r="AC157"/>
  <c r="W157"/>
  <c r="V157" s="1"/>
  <c r="R157"/>
  <c r="U157" s="1"/>
  <c r="F157"/>
  <c r="O157" s="1"/>
  <c r="BJ156"/>
  <c r="BI156" s="1"/>
  <c r="BE156"/>
  <c r="BD156"/>
  <c r="AI156"/>
  <c r="AF156"/>
  <c r="AC156"/>
  <c r="W156"/>
  <c r="V156" s="1"/>
  <c r="R156"/>
  <c r="U156" s="1"/>
  <c r="AN156" s="1"/>
  <c r="AO156" s="1"/>
  <c r="F156"/>
  <c r="O156" s="1"/>
  <c r="BJ155"/>
  <c r="BI155" s="1"/>
  <c r="BE155"/>
  <c r="BD155"/>
  <c r="AI155"/>
  <c r="AF155"/>
  <c r="AC155"/>
  <c r="W155"/>
  <c r="V155" s="1"/>
  <c r="U155"/>
  <c r="R155"/>
  <c r="F155"/>
  <c r="O155" s="1"/>
  <c r="BJ154"/>
  <c r="BI154" s="1"/>
  <c r="BE154"/>
  <c r="BD154"/>
  <c r="AI154"/>
  <c r="AF154"/>
  <c r="AC154"/>
  <c r="W154"/>
  <c r="V154" s="1"/>
  <c r="R154"/>
  <c r="U154" s="1"/>
  <c r="AN154" s="1"/>
  <c r="AO154" s="1"/>
  <c r="F154"/>
  <c r="O154" s="1"/>
  <c r="BJ153"/>
  <c r="BI153" s="1"/>
  <c r="BE153"/>
  <c r="BD153"/>
  <c r="AI153"/>
  <c r="AF153"/>
  <c r="AC153"/>
  <c r="W153"/>
  <c r="V153" s="1"/>
  <c r="R153"/>
  <c r="U153" s="1"/>
  <c r="AN153" s="1"/>
  <c r="AO153" s="1"/>
  <c r="F153"/>
  <c r="O153" s="1"/>
  <c r="BJ152"/>
  <c r="BI152" s="1"/>
  <c r="BE152"/>
  <c r="BD152"/>
  <c r="AI152"/>
  <c r="AF152"/>
  <c r="AC152"/>
  <c r="W152"/>
  <c r="V152" s="1"/>
  <c r="R152"/>
  <c r="U152" s="1"/>
  <c r="F152"/>
  <c r="O152" s="1"/>
  <c r="BJ151"/>
  <c r="BI151" s="1"/>
  <c r="BE151"/>
  <c r="BD151"/>
  <c r="AI151"/>
  <c r="AV151" s="1"/>
  <c r="AW151" s="1"/>
  <c r="AF151"/>
  <c r="AC151"/>
  <c r="W151"/>
  <c r="V151" s="1"/>
  <c r="R151"/>
  <c r="U151" s="1"/>
  <c r="F151"/>
  <c r="O151" s="1"/>
  <c r="BJ150"/>
  <c r="BI150" s="1"/>
  <c r="BE150"/>
  <c r="BD150"/>
  <c r="AV150"/>
  <c r="AW150" s="1"/>
  <c r="AI150"/>
  <c r="AF150"/>
  <c r="AC150"/>
  <c r="W150"/>
  <c r="V150" s="1"/>
  <c r="R150"/>
  <c r="U150" s="1"/>
  <c r="F150"/>
  <c r="O150" s="1"/>
  <c r="BJ149"/>
  <c r="BI149" s="1"/>
  <c r="BE149"/>
  <c r="BD149"/>
  <c r="AI149"/>
  <c r="AV149" s="1"/>
  <c r="AW149" s="1"/>
  <c r="AF149"/>
  <c r="AC149"/>
  <c r="W149"/>
  <c r="V149" s="1"/>
  <c r="R149"/>
  <c r="U149" s="1"/>
  <c r="F149"/>
  <c r="O149" s="1"/>
  <c r="BJ148"/>
  <c r="BI148" s="1"/>
  <c r="BE148"/>
  <c r="BC148" s="1"/>
  <c r="AI148"/>
  <c r="AE148"/>
  <c r="AC148"/>
  <c r="W148"/>
  <c r="V148" s="1"/>
  <c r="R148"/>
  <c r="U148" s="1"/>
  <c r="N148"/>
  <c r="F148"/>
  <c r="BJ147"/>
  <c r="BI147" s="1"/>
  <c r="BE147"/>
  <c r="BC147" s="1"/>
  <c r="AE147"/>
  <c r="AC147"/>
  <c r="W147"/>
  <c r="V147" s="1"/>
  <c r="R147"/>
  <c r="U147" s="1"/>
  <c r="I147"/>
  <c r="AI147" s="1"/>
  <c r="BJ146"/>
  <c r="BI146" s="1"/>
  <c r="BE146"/>
  <c r="BC146" s="1"/>
  <c r="AE146"/>
  <c r="AC146"/>
  <c r="W146"/>
  <c r="V146" s="1"/>
  <c r="T146"/>
  <c r="I146"/>
  <c r="AI146" s="1"/>
  <c r="BJ145"/>
  <c r="BI145" s="1"/>
  <c r="BE145"/>
  <c r="BC145" s="1"/>
  <c r="AE145"/>
  <c r="AC145"/>
  <c r="W145"/>
  <c r="V145" s="1"/>
  <c r="T145"/>
  <c r="I145"/>
  <c r="AI145" s="1"/>
  <c r="BJ144"/>
  <c r="BI144" s="1"/>
  <c r="BE144"/>
  <c r="BC144" s="1"/>
  <c r="AE144"/>
  <c r="AC144"/>
  <c r="W144"/>
  <c r="R144"/>
  <c r="U144" s="1"/>
  <c r="I144"/>
  <c r="F144" s="1"/>
  <c r="O144" s="1"/>
  <c r="BJ143"/>
  <c r="BI143" s="1"/>
  <c r="BE143"/>
  <c r="BC143" s="1"/>
  <c r="AE143"/>
  <c r="AC143"/>
  <c r="W143"/>
  <c r="V143" s="1"/>
  <c r="T143"/>
  <c r="R143" s="1"/>
  <c r="U143" s="1"/>
  <c r="I143"/>
  <c r="AI143" s="1"/>
  <c r="BJ142"/>
  <c r="BI142" s="1"/>
  <c r="BE142"/>
  <c r="BC142" s="1"/>
  <c r="AE142"/>
  <c r="AC142"/>
  <c r="W142"/>
  <c r="V142" s="1"/>
  <c r="T142"/>
  <c r="R142" s="1"/>
  <c r="U142" s="1"/>
  <c r="I142"/>
  <c r="F142" s="1"/>
  <c r="O142" s="1"/>
  <c r="BS141"/>
  <c r="BS160" s="1"/>
  <c r="BS164" s="1"/>
  <c r="BJ141"/>
  <c r="BE141"/>
  <c r="BC141" s="1"/>
  <c r="AE141"/>
  <c r="AC141"/>
  <c r="W141"/>
  <c r="V141" s="1"/>
  <c r="T141"/>
  <c r="K141"/>
  <c r="K160" s="1"/>
  <c r="K164" s="1"/>
  <c r="I141"/>
  <c r="BJ140"/>
  <c r="BI140" s="1"/>
  <c r="BE140"/>
  <c r="BC140" s="1"/>
  <c r="AE140"/>
  <c r="AC140"/>
  <c r="W140"/>
  <c r="V140"/>
  <c r="T140"/>
  <c r="I140"/>
  <c r="F140" s="1"/>
  <c r="O140" s="1"/>
  <c r="BJ139"/>
  <c r="BI139" s="1"/>
  <c r="BE139"/>
  <c r="BC139" s="1"/>
  <c r="AE139"/>
  <c r="AC139"/>
  <c r="W139"/>
  <c r="V139" s="1"/>
  <c r="T139"/>
  <c r="I139"/>
  <c r="F139" s="1"/>
  <c r="O139" s="1"/>
  <c r="BJ138"/>
  <c r="BI138" s="1"/>
  <c r="BE138"/>
  <c r="BC138" s="1"/>
  <c r="AE138"/>
  <c r="AC138"/>
  <c r="W138"/>
  <c r="V138" s="1"/>
  <c r="T138"/>
  <c r="I138"/>
  <c r="AI138" s="1"/>
  <c r="BJ137"/>
  <c r="BI137" s="1"/>
  <c r="BE137"/>
  <c r="BC137" s="1"/>
  <c r="AE137"/>
  <c r="AC137"/>
  <c r="W137"/>
  <c r="V137"/>
  <c r="T137"/>
  <c r="R137" s="1"/>
  <c r="U137" s="1"/>
  <c r="I137"/>
  <c r="F137" s="1"/>
  <c r="O137" s="1"/>
  <c r="BJ136"/>
  <c r="BI136" s="1"/>
  <c r="BE136"/>
  <c r="BC136" s="1"/>
  <c r="AI136"/>
  <c r="AV136" s="1"/>
  <c r="AW136" s="1"/>
  <c r="AE136"/>
  <c r="AC136"/>
  <c r="W136"/>
  <c r="V136" s="1"/>
  <c r="R136"/>
  <c r="U136" s="1"/>
  <c r="F136"/>
  <c r="O136" s="1"/>
  <c r="BJ135"/>
  <c r="BI135" s="1"/>
  <c r="BE135"/>
  <c r="BC135" s="1"/>
  <c r="AE135"/>
  <c r="AC135"/>
  <c r="W135"/>
  <c r="V135" s="1"/>
  <c r="T135"/>
  <c r="R135" s="1"/>
  <c r="U135" s="1"/>
  <c r="I135"/>
  <c r="F135" s="1"/>
  <c r="O135" s="1"/>
  <c r="BJ134"/>
  <c r="BI134" s="1"/>
  <c r="BE134"/>
  <c r="BC134" s="1"/>
  <c r="AE134"/>
  <c r="AC134"/>
  <c r="W134"/>
  <c r="V134" s="1"/>
  <c r="T134"/>
  <c r="R134"/>
  <c r="U134" s="1"/>
  <c r="I134"/>
  <c r="AI134" s="1"/>
  <c r="AV134" s="1"/>
  <c r="AW134" s="1"/>
  <c r="BJ133"/>
  <c r="BI133" s="1"/>
  <c r="BE133"/>
  <c r="BC133" s="1"/>
  <c r="AI133"/>
  <c r="AV133" s="1"/>
  <c r="AW133" s="1"/>
  <c r="AE133"/>
  <c r="AC133"/>
  <c r="W133"/>
  <c r="V133" s="1"/>
  <c r="U133"/>
  <c r="R133"/>
  <c r="F133"/>
  <c r="O133" s="1"/>
  <c r="BJ132"/>
  <c r="BI132" s="1"/>
  <c r="BE132"/>
  <c r="BC132" s="1"/>
  <c r="AI132"/>
  <c r="AC132"/>
  <c r="AB132" s="1"/>
  <c r="W132"/>
  <c r="R132"/>
  <c r="U132" s="1"/>
  <c r="F132"/>
  <c r="O132" s="1"/>
  <c r="BJ131"/>
  <c r="BI131" s="1"/>
  <c r="BE131"/>
  <c r="BC131" s="1"/>
  <c r="AI131"/>
  <c r="AV131" s="1"/>
  <c r="AW131" s="1"/>
  <c r="AC131"/>
  <c r="AB131" s="1"/>
  <c r="W131"/>
  <c r="V131"/>
  <c r="U131"/>
  <c r="R131"/>
  <c r="F131"/>
  <c r="AG131" s="1"/>
  <c r="BJ130"/>
  <c r="BI130" s="1"/>
  <c r="BE130"/>
  <c r="BC130" s="1"/>
  <c r="AC130"/>
  <c r="AB130" s="1"/>
  <c r="W130"/>
  <c r="V130" s="1"/>
  <c r="R130"/>
  <c r="U130" s="1"/>
  <c r="I130"/>
  <c r="BJ129"/>
  <c r="BI129" s="1"/>
  <c r="BE129"/>
  <c r="BC129"/>
  <c r="AC129"/>
  <c r="AB129" s="1"/>
  <c r="W129"/>
  <c r="V129" s="1"/>
  <c r="T129"/>
  <c r="I129"/>
  <c r="AI129" s="1"/>
  <c r="BJ128"/>
  <c r="BI128" s="1"/>
  <c r="BE128"/>
  <c r="BC128" s="1"/>
  <c r="AC128"/>
  <c r="AB128" s="1"/>
  <c r="W128"/>
  <c r="V128" s="1"/>
  <c r="T128"/>
  <c r="R128" s="1"/>
  <c r="U128" s="1"/>
  <c r="I128"/>
  <c r="F128" s="1"/>
  <c r="BP127"/>
  <c r="BJ127"/>
  <c r="BE127"/>
  <c r="BC127" s="1"/>
  <c r="AC127"/>
  <c r="AB127" s="1"/>
  <c r="W127"/>
  <c r="V127" s="1"/>
  <c r="T127"/>
  <c r="R127" s="1"/>
  <c r="U127" s="1"/>
  <c r="I127"/>
  <c r="F127" s="1"/>
  <c r="AG127" s="1"/>
  <c r="BJ126"/>
  <c r="BI126" s="1"/>
  <c r="BE126"/>
  <c r="BC126" s="1"/>
  <c r="AC126"/>
  <c r="AB126" s="1"/>
  <c r="W126"/>
  <c r="V126" s="1"/>
  <c r="T126"/>
  <c r="I126"/>
  <c r="AI126" s="1"/>
  <c r="BJ125"/>
  <c r="BI125" s="1"/>
  <c r="BE125"/>
  <c r="BC125" s="1"/>
  <c r="AC125"/>
  <c r="AB125" s="1"/>
  <c r="W125"/>
  <c r="V125" s="1"/>
  <c r="T125"/>
  <c r="R125" s="1"/>
  <c r="U125" s="1"/>
  <c r="I125"/>
  <c r="AI125" s="1"/>
  <c r="BJ124"/>
  <c r="BI124" s="1"/>
  <c r="BE124"/>
  <c r="BC124" s="1"/>
  <c r="AC124"/>
  <c r="AB124" s="1"/>
  <c r="W124"/>
  <c r="V124" s="1"/>
  <c r="T124"/>
  <c r="I124"/>
  <c r="AI124" s="1"/>
  <c r="BJ123"/>
  <c r="BI123" s="1"/>
  <c r="BE123"/>
  <c r="BD123"/>
  <c r="AI123"/>
  <c r="AV123" s="1"/>
  <c r="AW123" s="1"/>
  <c r="AF123"/>
  <c r="AC123"/>
  <c r="AB123" s="1"/>
  <c r="W123"/>
  <c r="V123" s="1"/>
  <c r="R123"/>
  <c r="U123" s="1"/>
  <c r="F123"/>
  <c r="O123" s="1"/>
  <c r="BJ122"/>
  <c r="BI122" s="1"/>
  <c r="BE122"/>
  <c r="BD122"/>
  <c r="AV122"/>
  <c r="AW122" s="1"/>
  <c r="AT122"/>
  <c r="AU122" s="1"/>
  <c r="AS122"/>
  <c r="AP122"/>
  <c r="AQ122" s="1"/>
  <c r="AN122"/>
  <c r="AO122" s="1"/>
  <c r="AM122"/>
  <c r="AL122"/>
  <c r="AL160" s="1"/>
  <c r="AL164" s="1"/>
  <c r="AI122"/>
  <c r="AF122"/>
  <c r="AX122" s="1"/>
  <c r="AC122"/>
  <c r="W122"/>
  <c r="V122" s="1"/>
  <c r="R122"/>
  <c r="U122" s="1"/>
  <c r="F122"/>
  <c r="O122" s="1"/>
  <c r="BJ121"/>
  <c r="BI121" s="1"/>
  <c r="BF121"/>
  <c r="BE121" s="1"/>
  <c r="BD121"/>
  <c r="AI121"/>
  <c r="AV121" s="1"/>
  <c r="AW121" s="1"/>
  <c r="AG121"/>
  <c r="AF121" s="1"/>
  <c r="AC121"/>
  <c r="W121"/>
  <c r="R121"/>
  <c r="U121" s="1"/>
  <c r="F121"/>
  <c r="O121" s="1"/>
  <c r="BJ120"/>
  <c r="BI120" s="1"/>
  <c r="BE120"/>
  <c r="BD120"/>
  <c r="AI120"/>
  <c r="AV120" s="1"/>
  <c r="AW120" s="1"/>
  <c r="AF120"/>
  <c r="AC120"/>
  <c r="W120"/>
  <c r="V120" s="1"/>
  <c r="R120"/>
  <c r="U120" s="1"/>
  <c r="F120"/>
  <c r="O120" s="1"/>
  <c r="BJ119"/>
  <c r="BI119" s="1"/>
  <c r="BE119"/>
  <c r="BD119"/>
  <c r="AI119"/>
  <c r="AF119"/>
  <c r="AC119"/>
  <c r="AB119" s="1"/>
  <c r="W119"/>
  <c r="V119" s="1"/>
  <c r="R119"/>
  <c r="U119" s="1"/>
  <c r="F119"/>
  <c r="O119" s="1"/>
  <c r="BJ118"/>
  <c r="BI118" s="1"/>
  <c r="BE118"/>
  <c r="BD118"/>
  <c r="AI118"/>
  <c r="AF118"/>
  <c r="AC118"/>
  <c r="W118"/>
  <c r="V118" s="1"/>
  <c r="R118"/>
  <c r="U118" s="1"/>
  <c r="F118"/>
  <c r="O118" s="1"/>
  <c r="BJ117"/>
  <c r="BI117" s="1"/>
  <c r="BE117"/>
  <c r="BD117"/>
  <c r="AI117"/>
  <c r="AF117"/>
  <c r="AC117"/>
  <c r="W117"/>
  <c r="V117" s="1"/>
  <c r="R117"/>
  <c r="U117" s="1"/>
  <c r="F117"/>
  <c r="O117" s="1"/>
  <c r="BJ116"/>
  <c r="BI116" s="1"/>
  <c r="BE116"/>
  <c r="BD116"/>
  <c r="AI116"/>
  <c r="AF116"/>
  <c r="AC116"/>
  <c r="W116"/>
  <c r="V116" s="1"/>
  <c r="R116"/>
  <c r="U116" s="1"/>
  <c r="F116"/>
  <c r="O116" s="1"/>
  <c r="BJ115"/>
  <c r="BI115" s="1"/>
  <c r="BE115"/>
  <c r="BD115"/>
  <c r="AI115"/>
  <c r="AF115"/>
  <c r="AC115"/>
  <c r="W115"/>
  <c r="V115" s="1"/>
  <c r="R115"/>
  <c r="U115" s="1"/>
  <c r="F115"/>
  <c r="O115" s="1"/>
  <c r="BJ114"/>
  <c r="BI114" s="1"/>
  <c r="BE114"/>
  <c r="BD114"/>
  <c r="BC114" s="1"/>
  <c r="AI114"/>
  <c r="AF114"/>
  <c r="AC114"/>
  <c r="W114"/>
  <c r="V114" s="1"/>
  <c r="R114"/>
  <c r="U114" s="1"/>
  <c r="F114"/>
  <c r="O114" s="1"/>
  <c r="BJ113"/>
  <c r="BI113"/>
  <c r="BE113"/>
  <c r="BD113"/>
  <c r="AI113"/>
  <c r="AF113"/>
  <c r="AC113"/>
  <c r="W113"/>
  <c r="V113" s="1"/>
  <c r="R113"/>
  <c r="U113" s="1"/>
  <c r="F113"/>
  <c r="O113" s="1"/>
  <c r="BJ112"/>
  <c r="BI112" s="1"/>
  <c r="BE112"/>
  <c r="BD112"/>
  <c r="AI112"/>
  <c r="AS112" s="1"/>
  <c r="AF112"/>
  <c r="AC112"/>
  <c r="W112"/>
  <c r="V112"/>
  <c r="U112"/>
  <c r="R112"/>
  <c r="F112"/>
  <c r="O112" s="1"/>
  <c r="BJ111"/>
  <c r="BI111" s="1"/>
  <c r="BE111"/>
  <c r="BD111"/>
  <c r="AI111"/>
  <c r="AV111" s="1"/>
  <c r="AW111" s="1"/>
  <c r="AF111"/>
  <c r="AC111"/>
  <c r="W111"/>
  <c r="V111" s="1"/>
  <c r="R111"/>
  <c r="U111" s="1"/>
  <c r="O111"/>
  <c r="F111"/>
  <c r="BJ110"/>
  <c r="BI110" s="1"/>
  <c r="BE110"/>
  <c r="BD110"/>
  <c r="AI110"/>
  <c r="AF110"/>
  <c r="AC110"/>
  <c r="W110"/>
  <c r="V110" s="1"/>
  <c r="R110"/>
  <c r="U110" s="1"/>
  <c r="F110"/>
  <c r="O110" s="1"/>
  <c r="BJ109"/>
  <c r="BI109" s="1"/>
  <c r="BE109"/>
  <c r="BD109"/>
  <c r="AG109"/>
  <c r="AC109"/>
  <c r="AB109" s="1"/>
  <c r="W109"/>
  <c r="V109" s="1"/>
  <c r="U109"/>
  <c r="R109"/>
  <c r="F109"/>
  <c r="O109" s="1"/>
  <c r="BJ108"/>
  <c r="BI108" s="1"/>
  <c r="BE108"/>
  <c r="BD108"/>
  <c r="AC108"/>
  <c r="AB108" s="1"/>
  <c r="W108"/>
  <c r="V108" s="1"/>
  <c r="U108"/>
  <c r="R108"/>
  <c r="F108"/>
  <c r="O108" s="1"/>
  <c r="BJ107"/>
  <c r="BI107" s="1"/>
  <c r="BE107"/>
  <c r="BD107"/>
  <c r="AG107"/>
  <c r="AC107"/>
  <c r="AB107" s="1"/>
  <c r="W107"/>
  <c r="V107" s="1"/>
  <c r="U107"/>
  <c r="R107"/>
  <c r="F107"/>
  <c r="O107" s="1"/>
  <c r="BJ106"/>
  <c r="BI106" s="1"/>
  <c r="BE106"/>
  <c r="BD106"/>
  <c r="AG106"/>
  <c r="AC106"/>
  <c r="AB106" s="1"/>
  <c r="W106"/>
  <c r="V106" s="1"/>
  <c r="U106"/>
  <c r="R106"/>
  <c r="F106"/>
  <c r="O106" s="1"/>
  <c r="BJ105"/>
  <c r="BI105" s="1"/>
  <c r="BE105"/>
  <c r="BD105"/>
  <c r="AI105"/>
  <c r="AV105" s="1"/>
  <c r="AW105" s="1"/>
  <c r="AF105"/>
  <c r="AC105"/>
  <c r="W105"/>
  <c r="V105"/>
  <c r="R105"/>
  <c r="U105" s="1"/>
  <c r="F105"/>
  <c r="O105" s="1"/>
  <c r="BJ104"/>
  <c r="BI104" s="1"/>
  <c r="BE104"/>
  <c r="BD104"/>
  <c r="AI104"/>
  <c r="AV104" s="1"/>
  <c r="AW104" s="1"/>
  <c r="AF104"/>
  <c r="AC104"/>
  <c r="W104"/>
  <c r="V104" s="1"/>
  <c r="R104"/>
  <c r="U104" s="1"/>
  <c r="F104"/>
  <c r="O104" s="1"/>
  <c r="BJ103"/>
  <c r="BI103" s="1"/>
  <c r="BE103"/>
  <c r="BD103"/>
  <c r="AI103"/>
  <c r="AV103" s="1"/>
  <c r="AW103" s="1"/>
  <c r="AF103"/>
  <c r="AC103"/>
  <c r="W103"/>
  <c r="V103" s="1"/>
  <c r="R103"/>
  <c r="U103" s="1"/>
  <c r="AX103" s="1"/>
  <c r="F103"/>
  <c r="O103" s="1"/>
  <c r="BJ102"/>
  <c r="BI102" s="1"/>
  <c r="BE102"/>
  <c r="BD102"/>
  <c r="AI102"/>
  <c r="AV102" s="1"/>
  <c r="AW102" s="1"/>
  <c r="AF102"/>
  <c r="AC102"/>
  <c r="AB102" s="1"/>
  <c r="W102"/>
  <c r="V102" s="1"/>
  <c r="R102"/>
  <c r="U102" s="1"/>
  <c r="F102"/>
  <c r="O102" s="1"/>
  <c r="BJ101"/>
  <c r="BI101" s="1"/>
  <c r="BE101"/>
  <c r="BD101"/>
  <c r="AI101"/>
  <c r="AV101" s="1"/>
  <c r="AW101" s="1"/>
  <c r="AF101"/>
  <c r="AC101"/>
  <c r="W101"/>
  <c r="V101" s="1"/>
  <c r="R101"/>
  <c r="U101" s="1"/>
  <c r="F101"/>
  <c r="O101" s="1"/>
  <c r="BJ100"/>
  <c r="BI100" s="1"/>
  <c r="BE100"/>
  <c r="AF100"/>
  <c r="AC100"/>
  <c r="W100"/>
  <c r="R100"/>
  <c r="U100" s="1"/>
  <c r="I100"/>
  <c r="AI100" s="1"/>
  <c r="BJ99"/>
  <c r="BI99" s="1"/>
  <c r="BE99"/>
  <c r="BD99"/>
  <c r="AI99"/>
  <c r="AV99" s="1"/>
  <c r="AW99" s="1"/>
  <c r="AF99"/>
  <c r="AB99" s="1"/>
  <c r="AC99"/>
  <c r="W99"/>
  <c r="V99" s="1"/>
  <c r="R99"/>
  <c r="U99" s="1"/>
  <c r="F99"/>
  <c r="O99" s="1"/>
  <c r="BJ98"/>
  <c r="BI98" s="1"/>
  <c r="BE98"/>
  <c r="BD98"/>
  <c r="AI98"/>
  <c r="AV98" s="1"/>
  <c r="AW98" s="1"/>
  <c r="AF98"/>
  <c r="AC98"/>
  <c r="AB98" s="1"/>
  <c r="W98"/>
  <c r="V98" s="1"/>
  <c r="R98"/>
  <c r="U98" s="1"/>
  <c r="F98"/>
  <c r="O98" s="1"/>
  <c r="BJ97"/>
  <c r="BI97" s="1"/>
  <c r="BE97"/>
  <c r="BD97"/>
  <c r="AI97"/>
  <c r="AV97" s="1"/>
  <c r="AW97" s="1"/>
  <c r="AF97"/>
  <c r="AC97"/>
  <c r="W97"/>
  <c r="V97" s="1"/>
  <c r="R97"/>
  <c r="U97" s="1"/>
  <c r="F97"/>
  <c r="O97" s="1"/>
  <c r="BJ96"/>
  <c r="BI96" s="1"/>
  <c r="BE96"/>
  <c r="AF96"/>
  <c r="AC96"/>
  <c r="W96"/>
  <c r="V96" s="1"/>
  <c r="R96"/>
  <c r="U96" s="1"/>
  <c r="I96"/>
  <c r="BJ95"/>
  <c r="BI95" s="1"/>
  <c r="BE95"/>
  <c r="BD95"/>
  <c r="BC95" s="1"/>
  <c r="AI95"/>
  <c r="AV95" s="1"/>
  <c r="AW95" s="1"/>
  <c r="AF95"/>
  <c r="AC95"/>
  <c r="W95"/>
  <c r="V95" s="1"/>
  <c r="R95"/>
  <c r="U95" s="1"/>
  <c r="F95"/>
  <c r="O95" s="1"/>
  <c r="BJ94"/>
  <c r="BI94" s="1"/>
  <c r="BE94"/>
  <c r="BD94"/>
  <c r="AI94"/>
  <c r="AV94" s="1"/>
  <c r="AW94" s="1"/>
  <c r="AF94"/>
  <c r="AC94"/>
  <c r="W94"/>
  <c r="V94" s="1"/>
  <c r="R94"/>
  <c r="U94" s="1"/>
  <c r="AP94" s="1"/>
  <c r="AQ94" s="1"/>
  <c r="F94"/>
  <c r="O94" s="1"/>
  <c r="BJ93"/>
  <c r="BI93" s="1"/>
  <c r="BE93"/>
  <c r="BD93"/>
  <c r="BC93" s="1"/>
  <c r="AI93"/>
  <c r="AG93"/>
  <c r="AC93"/>
  <c r="AB93" s="1"/>
  <c r="W93"/>
  <c r="V93" s="1"/>
  <c r="R93"/>
  <c r="U93" s="1"/>
  <c r="F93"/>
  <c r="O93" s="1"/>
  <c r="BJ92"/>
  <c r="BI92" s="1"/>
  <c r="BE92"/>
  <c r="BD92"/>
  <c r="AC92"/>
  <c r="AB92" s="1"/>
  <c r="W92"/>
  <c r="V92" s="1"/>
  <c r="R92"/>
  <c r="F92"/>
  <c r="O92" s="1"/>
  <c r="BW91"/>
  <c r="BJ91"/>
  <c r="BE91"/>
  <c r="BD91"/>
  <c r="AI91"/>
  <c r="AV91" s="1"/>
  <c r="AW91" s="1"/>
  <c r="AF91"/>
  <c r="AC91"/>
  <c r="W91"/>
  <c r="R91"/>
  <c r="U91" s="1"/>
  <c r="F91"/>
  <c r="O91" s="1"/>
  <c r="BJ90"/>
  <c r="BI90" s="1"/>
  <c r="BE90"/>
  <c r="BD90"/>
  <c r="AI90"/>
  <c r="AF90"/>
  <c r="AC90"/>
  <c r="W90"/>
  <c r="R90"/>
  <c r="U90" s="1"/>
  <c r="F90"/>
  <c r="O90" s="1"/>
  <c r="BW89"/>
  <c r="BJ89"/>
  <c r="BI89" s="1"/>
  <c r="BE89"/>
  <c r="BC89" s="1"/>
  <c r="BD89"/>
  <c r="AI89"/>
  <c r="AF89"/>
  <c r="AC89"/>
  <c r="W89"/>
  <c r="V89" s="1"/>
  <c r="R89"/>
  <c r="U89" s="1"/>
  <c r="F89"/>
  <c r="O89" s="1"/>
  <c r="BJ88"/>
  <c r="BI88" s="1"/>
  <c r="BE88"/>
  <c r="BD88"/>
  <c r="AI88"/>
  <c r="AF88"/>
  <c r="AC88"/>
  <c r="W88"/>
  <c r="V88" s="1"/>
  <c r="R88"/>
  <c r="U88" s="1"/>
  <c r="F88"/>
  <c r="O88" s="1"/>
  <c r="BW87"/>
  <c r="BJ87"/>
  <c r="BE87"/>
  <c r="BD87"/>
  <c r="AZ87"/>
  <c r="AZ160" s="1"/>
  <c r="AZ164" s="1"/>
  <c r="AI87"/>
  <c r="AV87" s="1"/>
  <c r="AW87" s="1"/>
  <c r="AF87"/>
  <c r="AC87"/>
  <c r="W87"/>
  <c r="V87" s="1"/>
  <c r="R87"/>
  <c r="U87" s="1"/>
  <c r="F87"/>
  <c r="O87" s="1"/>
  <c r="BJ86"/>
  <c r="BI86" s="1"/>
  <c r="BE86"/>
  <c r="BD86"/>
  <c r="AI86"/>
  <c r="AV86" s="1"/>
  <c r="AW86" s="1"/>
  <c r="AF86"/>
  <c r="AC86"/>
  <c r="W86"/>
  <c r="V86" s="1"/>
  <c r="R86"/>
  <c r="U86" s="1"/>
  <c r="F86"/>
  <c r="O86" s="1"/>
  <c r="BJ85"/>
  <c r="BI85" s="1"/>
  <c r="BE85"/>
  <c r="BD85"/>
  <c r="AI85"/>
  <c r="AV85" s="1"/>
  <c r="AW85" s="1"/>
  <c r="AF85"/>
  <c r="AC85"/>
  <c r="W85"/>
  <c r="V85" s="1"/>
  <c r="R85"/>
  <c r="U85" s="1"/>
  <c r="F85"/>
  <c r="O85" s="1"/>
  <c r="BJ84"/>
  <c r="BI84" s="1"/>
  <c r="BE84"/>
  <c r="BD84"/>
  <c r="AI84"/>
  <c r="AV84" s="1"/>
  <c r="AW84" s="1"/>
  <c r="AF84"/>
  <c r="AC84"/>
  <c r="W84"/>
  <c r="V84" s="1"/>
  <c r="R84"/>
  <c r="U84" s="1"/>
  <c r="F84"/>
  <c r="O84" s="1"/>
  <c r="BJ83"/>
  <c r="BI83" s="1"/>
  <c r="BF83"/>
  <c r="BF160" s="1"/>
  <c r="BF164" s="1"/>
  <c r="BD83"/>
  <c r="AI83"/>
  <c r="AV83" s="1"/>
  <c r="AW83" s="1"/>
  <c r="AG83"/>
  <c r="AF83" s="1"/>
  <c r="AC83"/>
  <c r="W83"/>
  <c r="V83" s="1"/>
  <c r="R83"/>
  <c r="U83" s="1"/>
  <c r="F83"/>
  <c r="O83" s="1"/>
  <c r="BJ82"/>
  <c r="BI82" s="1"/>
  <c r="BE82"/>
  <c r="BD82"/>
  <c r="AI82"/>
  <c r="AV82" s="1"/>
  <c r="AW82" s="1"/>
  <c r="AF82"/>
  <c r="AC82"/>
  <c r="W82"/>
  <c r="V82" s="1"/>
  <c r="R82"/>
  <c r="U82" s="1"/>
  <c r="F82"/>
  <c r="O82" s="1"/>
  <c r="BJ81"/>
  <c r="BI81" s="1"/>
  <c r="BE81"/>
  <c r="BD81"/>
  <c r="AI81"/>
  <c r="AV81" s="1"/>
  <c r="AW81" s="1"/>
  <c r="AF81"/>
  <c r="AC81"/>
  <c r="W81"/>
  <c r="V81" s="1"/>
  <c r="R81"/>
  <c r="U81" s="1"/>
  <c r="F81"/>
  <c r="O81" s="1"/>
  <c r="BJ80"/>
  <c r="BI80" s="1"/>
  <c r="BE80"/>
  <c r="BD80"/>
  <c r="AI80"/>
  <c r="AV80" s="1"/>
  <c r="AW80" s="1"/>
  <c r="AF80"/>
  <c r="AC80"/>
  <c r="W80"/>
  <c r="V80" s="1"/>
  <c r="R80"/>
  <c r="U80" s="1"/>
  <c r="F80"/>
  <c r="O80" s="1"/>
  <c r="BJ79"/>
  <c r="BI79" s="1"/>
  <c r="BE79"/>
  <c r="BD79"/>
  <c r="AI79"/>
  <c r="AV79" s="1"/>
  <c r="AW79" s="1"/>
  <c r="AF79"/>
  <c r="AC79"/>
  <c r="W79"/>
  <c r="V79" s="1"/>
  <c r="R79"/>
  <c r="U79" s="1"/>
  <c r="F79"/>
  <c r="O79" s="1"/>
  <c r="BJ78"/>
  <c r="BI78" s="1"/>
  <c r="BE78"/>
  <c r="AF78"/>
  <c r="AC78"/>
  <c r="W78"/>
  <c r="V78" s="1"/>
  <c r="R78"/>
  <c r="U78" s="1"/>
  <c r="N78"/>
  <c r="I78"/>
  <c r="AI78" s="1"/>
  <c r="AV78" s="1"/>
  <c r="AW78" s="1"/>
  <c r="BJ77"/>
  <c r="BI77" s="1"/>
  <c r="BE77"/>
  <c r="AF77"/>
  <c r="AC77"/>
  <c r="W77"/>
  <c r="V77" s="1"/>
  <c r="R77"/>
  <c r="U77" s="1"/>
  <c r="N77"/>
  <c r="I77"/>
  <c r="BD77" s="1"/>
  <c r="BJ76"/>
  <c r="BI76" s="1"/>
  <c r="BE76"/>
  <c r="BD76"/>
  <c r="AV76"/>
  <c r="AW76" s="1"/>
  <c r="AI76"/>
  <c r="AF76"/>
  <c r="AC76"/>
  <c r="W76"/>
  <c r="V76" s="1"/>
  <c r="R76"/>
  <c r="U76" s="1"/>
  <c r="N76"/>
  <c r="F76"/>
  <c r="BJ75"/>
  <c r="BI75" s="1"/>
  <c r="BE75"/>
  <c r="BD75"/>
  <c r="AI75"/>
  <c r="AV75" s="1"/>
  <c r="AW75" s="1"/>
  <c r="AF75"/>
  <c r="AC75"/>
  <c r="W75"/>
  <c r="U75"/>
  <c r="R75"/>
  <c r="F75"/>
  <c r="O75" s="1"/>
  <c r="BJ74"/>
  <c r="BI74" s="1"/>
  <c r="BE74"/>
  <c r="BD74"/>
  <c r="AI74"/>
  <c r="AV74" s="1"/>
  <c r="AW74" s="1"/>
  <c r="AF74"/>
  <c r="AC74"/>
  <c r="W74"/>
  <c r="V74" s="1"/>
  <c r="R74"/>
  <c r="U74" s="1"/>
  <c r="N74"/>
  <c r="F74"/>
  <c r="O74" s="1"/>
  <c r="BJ73"/>
  <c r="BI73" s="1"/>
  <c r="BE73"/>
  <c r="BD73"/>
  <c r="AI73"/>
  <c r="AV73" s="1"/>
  <c r="AW73" s="1"/>
  <c r="AF73"/>
  <c r="AC73"/>
  <c r="W73"/>
  <c r="R73"/>
  <c r="U73" s="1"/>
  <c r="AT73" s="1"/>
  <c r="AU73" s="1"/>
  <c r="F73"/>
  <c r="O73" s="1"/>
  <c r="BJ72"/>
  <c r="BI72" s="1"/>
  <c r="BE72"/>
  <c r="BD72"/>
  <c r="AI72"/>
  <c r="AV72" s="1"/>
  <c r="AW72" s="1"/>
  <c r="AF72"/>
  <c r="AC72"/>
  <c r="W72"/>
  <c r="V72" s="1"/>
  <c r="R72"/>
  <c r="U72" s="1"/>
  <c r="N72"/>
  <c r="F72"/>
  <c r="BJ71"/>
  <c r="BI71" s="1"/>
  <c r="BE71"/>
  <c r="AF71"/>
  <c r="AC71"/>
  <c r="R71"/>
  <c r="U71" s="1"/>
  <c r="I71"/>
  <c r="AI71" s="1"/>
  <c r="G71"/>
  <c r="W71" s="1"/>
  <c r="V71" s="1"/>
  <c r="BJ70"/>
  <c r="BI70" s="1"/>
  <c r="BE70"/>
  <c r="AF70"/>
  <c r="AC70"/>
  <c r="W70"/>
  <c r="R70"/>
  <c r="U70" s="1"/>
  <c r="N70"/>
  <c r="I70"/>
  <c r="BD70" s="1"/>
  <c r="BJ69"/>
  <c r="BI69"/>
  <c r="BE69"/>
  <c r="BD69"/>
  <c r="AI69"/>
  <c r="AV69" s="1"/>
  <c r="AW69" s="1"/>
  <c r="AF69"/>
  <c r="AC69"/>
  <c r="W69"/>
  <c r="V69" s="1"/>
  <c r="R69"/>
  <c r="U69" s="1"/>
  <c r="N69"/>
  <c r="F69"/>
  <c r="BJ68"/>
  <c r="BI68" s="1"/>
  <c r="BE68"/>
  <c r="BD68"/>
  <c r="BC68" s="1"/>
  <c r="AI68"/>
  <c r="AV68" s="1"/>
  <c r="AW68" s="1"/>
  <c r="AF68"/>
  <c r="AC68"/>
  <c r="AB68" s="1"/>
  <c r="W68"/>
  <c r="V68" s="1"/>
  <c r="R68"/>
  <c r="U68" s="1"/>
  <c r="N68"/>
  <c r="F68"/>
  <c r="BJ67"/>
  <c r="BI67" s="1"/>
  <c r="BE67"/>
  <c r="AF67"/>
  <c r="AC67"/>
  <c r="W67"/>
  <c r="V67" s="1"/>
  <c r="R67"/>
  <c r="U67" s="1"/>
  <c r="N67"/>
  <c r="I67"/>
  <c r="BD67" s="1"/>
  <c r="BJ66"/>
  <c r="BI66" s="1"/>
  <c r="BE66"/>
  <c r="BC66" s="1"/>
  <c r="BD66"/>
  <c r="AI66"/>
  <c r="AV66" s="1"/>
  <c r="AW66" s="1"/>
  <c r="AF66"/>
  <c r="AC66"/>
  <c r="W66"/>
  <c r="V66" s="1"/>
  <c r="R66"/>
  <c r="U66" s="1"/>
  <c r="F66"/>
  <c r="O66" s="1"/>
  <c r="BJ65"/>
  <c r="BI65" s="1"/>
  <c r="BE65"/>
  <c r="AF65"/>
  <c r="AC65"/>
  <c r="W65"/>
  <c r="V65" s="1"/>
  <c r="R65"/>
  <c r="U65" s="1"/>
  <c r="I65"/>
  <c r="BD65" s="1"/>
  <c r="BC65" s="1"/>
  <c r="BP64"/>
  <c r="BJ64"/>
  <c r="BE64"/>
  <c r="BD64"/>
  <c r="AI64"/>
  <c r="AV64" s="1"/>
  <c r="AW64" s="1"/>
  <c r="AF64"/>
  <c r="AC64"/>
  <c r="W64"/>
  <c r="V64" s="1"/>
  <c r="R64"/>
  <c r="U64" s="1"/>
  <c r="F64"/>
  <c r="O64" s="1"/>
  <c r="BJ63"/>
  <c r="BI63" s="1"/>
  <c r="BE63"/>
  <c r="BD63"/>
  <c r="AI63"/>
  <c r="AV63" s="1"/>
  <c r="AW63" s="1"/>
  <c r="AF63"/>
  <c r="AC63"/>
  <c r="W63"/>
  <c r="V63" s="1"/>
  <c r="R63"/>
  <c r="U63" s="1"/>
  <c r="F63"/>
  <c r="O63" s="1"/>
  <c r="BJ62"/>
  <c r="BI62" s="1"/>
  <c r="BE62"/>
  <c r="BD62"/>
  <c r="AI62"/>
  <c r="AV62" s="1"/>
  <c r="AW62" s="1"/>
  <c r="AF62"/>
  <c r="AC62"/>
  <c r="W62"/>
  <c r="R62"/>
  <c r="U62" s="1"/>
  <c r="F62"/>
  <c r="O62" s="1"/>
  <c r="BJ61"/>
  <c r="BI61" s="1"/>
  <c r="BE61"/>
  <c r="BD61"/>
  <c r="AI61"/>
  <c r="AV61" s="1"/>
  <c r="AW61" s="1"/>
  <c r="AF61"/>
  <c r="AC61"/>
  <c r="AB61" s="1"/>
  <c r="W61"/>
  <c r="V61" s="1"/>
  <c r="R61"/>
  <c r="U61" s="1"/>
  <c r="F61"/>
  <c r="O61" s="1"/>
  <c r="BJ60"/>
  <c r="BI60" s="1"/>
  <c r="BE60"/>
  <c r="BD60"/>
  <c r="AI60"/>
  <c r="AV60" s="1"/>
  <c r="AW60" s="1"/>
  <c r="AF60"/>
  <c r="AC60"/>
  <c r="W60"/>
  <c r="V60" s="1"/>
  <c r="R60"/>
  <c r="U60" s="1"/>
  <c r="F60"/>
  <c r="O60" s="1"/>
  <c r="BJ59"/>
  <c r="BI59" s="1"/>
  <c r="BE59"/>
  <c r="BD59"/>
  <c r="AI59"/>
  <c r="AV59" s="1"/>
  <c r="AW59" s="1"/>
  <c r="AF59"/>
  <c r="AC59"/>
  <c r="W59"/>
  <c r="V59" s="1"/>
  <c r="R59"/>
  <c r="U59" s="1"/>
  <c r="AP59" s="1"/>
  <c r="AQ59" s="1"/>
  <c r="F59"/>
  <c r="O59" s="1"/>
  <c r="BJ58"/>
  <c r="BI58" s="1"/>
  <c r="BE58"/>
  <c r="BD58"/>
  <c r="AI58"/>
  <c r="AV58" s="1"/>
  <c r="AW58" s="1"/>
  <c r="AF58"/>
  <c r="AC58"/>
  <c r="W58"/>
  <c r="R58"/>
  <c r="U58" s="1"/>
  <c r="F58"/>
  <c r="O58" s="1"/>
  <c r="BJ57"/>
  <c r="BI57" s="1"/>
  <c r="BE57"/>
  <c r="AF57"/>
  <c r="AC57"/>
  <c r="R57"/>
  <c r="U57" s="1"/>
  <c r="J57"/>
  <c r="J160" s="1"/>
  <c r="J164" s="1"/>
  <c r="G57"/>
  <c r="G160" s="1"/>
  <c r="G164" s="1"/>
  <c r="BJ56"/>
  <c r="BI56" s="1"/>
  <c r="BE56"/>
  <c r="AG56"/>
  <c r="AF56" s="1"/>
  <c r="AC56"/>
  <c r="W56"/>
  <c r="V56"/>
  <c r="R56"/>
  <c r="U56" s="1"/>
  <c r="I56"/>
  <c r="AI56" s="1"/>
  <c r="AV56" s="1"/>
  <c r="AW56" s="1"/>
  <c r="BJ55"/>
  <c r="BI55" s="1"/>
  <c r="BE55"/>
  <c r="AF55"/>
  <c r="AC55"/>
  <c r="W55"/>
  <c r="R55"/>
  <c r="U55" s="1"/>
  <c r="I55"/>
  <c r="BD55" s="1"/>
  <c r="BJ54"/>
  <c r="BI54" s="1"/>
  <c r="BE54"/>
  <c r="BD54"/>
  <c r="AI54"/>
  <c r="AV54" s="1"/>
  <c r="AW54" s="1"/>
  <c r="AF54"/>
  <c r="AC54"/>
  <c r="W54"/>
  <c r="V54"/>
  <c r="R54"/>
  <c r="U54" s="1"/>
  <c r="F54"/>
  <c r="O54" s="1"/>
  <c r="BJ53"/>
  <c r="BI53"/>
  <c r="BE53"/>
  <c r="AF53"/>
  <c r="AC53"/>
  <c r="W53"/>
  <c r="V53" s="1"/>
  <c r="R53"/>
  <c r="U53" s="1"/>
  <c r="I53"/>
  <c r="F53" s="1"/>
  <c r="O53" s="1"/>
  <c r="BJ52"/>
  <c r="BI52" s="1"/>
  <c r="BE52"/>
  <c r="AF52"/>
  <c r="AC52"/>
  <c r="W52"/>
  <c r="V52" s="1"/>
  <c r="R52"/>
  <c r="U52" s="1"/>
  <c r="I52"/>
  <c r="BD52" s="1"/>
  <c r="BJ51"/>
  <c r="BI51" s="1"/>
  <c r="BE51"/>
  <c r="AF51"/>
  <c r="AC51"/>
  <c r="AB51" s="1"/>
  <c r="W51"/>
  <c r="V51" s="1"/>
  <c r="R51"/>
  <c r="U51" s="1"/>
  <c r="N51"/>
  <c r="N160" s="1"/>
  <c r="N164" s="1"/>
  <c r="I51"/>
  <c r="BD51" s="1"/>
  <c r="BJ50"/>
  <c r="BI50" s="1"/>
  <c r="BE50"/>
  <c r="BD50"/>
  <c r="AI50"/>
  <c r="AF50"/>
  <c r="AC50"/>
  <c r="W50"/>
  <c r="V50" s="1"/>
  <c r="R50"/>
  <c r="U50" s="1"/>
  <c r="F50"/>
  <c r="O50" s="1"/>
  <c r="BJ49"/>
  <c r="BI49" s="1"/>
  <c r="BE49"/>
  <c r="BD49"/>
  <c r="AI49"/>
  <c r="AF49"/>
  <c r="AC49"/>
  <c r="W49"/>
  <c r="V49" s="1"/>
  <c r="R49"/>
  <c r="U49" s="1"/>
  <c r="F49"/>
  <c r="O49" s="1"/>
  <c r="BJ48"/>
  <c r="BI48" s="1"/>
  <c r="BE48"/>
  <c r="BD48"/>
  <c r="AI48"/>
  <c r="AF48"/>
  <c r="AC48"/>
  <c r="W48"/>
  <c r="V48" s="1"/>
  <c r="R48"/>
  <c r="U48" s="1"/>
  <c r="F48"/>
  <c r="O48" s="1"/>
  <c r="BJ47"/>
  <c r="BI47" s="1"/>
  <c r="BE47"/>
  <c r="BD47"/>
  <c r="BC47" s="1"/>
  <c r="AI47"/>
  <c r="AF47"/>
  <c r="AC47"/>
  <c r="W47"/>
  <c r="V47" s="1"/>
  <c r="R47"/>
  <c r="U47" s="1"/>
  <c r="F47"/>
  <c r="O47" s="1"/>
  <c r="BJ46"/>
  <c r="BI46" s="1"/>
  <c r="BE46"/>
  <c r="BD46"/>
  <c r="AI46"/>
  <c r="AF46"/>
  <c r="AC46"/>
  <c r="W46"/>
  <c r="V46"/>
  <c r="R46"/>
  <c r="U46" s="1"/>
  <c r="F46"/>
  <c r="O46" s="1"/>
  <c r="BJ45"/>
  <c r="BI45"/>
  <c r="BE45"/>
  <c r="BD45"/>
  <c r="AI45"/>
  <c r="AF45"/>
  <c r="AC45"/>
  <c r="W45"/>
  <c r="V45" s="1"/>
  <c r="R45"/>
  <c r="U45" s="1"/>
  <c r="F45"/>
  <c r="O45" s="1"/>
  <c r="BJ44"/>
  <c r="BI44" s="1"/>
  <c r="BE44"/>
  <c r="BD44"/>
  <c r="AI44"/>
  <c r="AF44"/>
  <c r="AC44"/>
  <c r="W44"/>
  <c r="V44" s="1"/>
  <c r="R44"/>
  <c r="U44" s="1"/>
  <c r="F44"/>
  <c r="O44" s="1"/>
  <c r="BJ43"/>
  <c r="BI43" s="1"/>
  <c r="BE43"/>
  <c r="BD43"/>
  <c r="BC43" s="1"/>
  <c r="AI43"/>
  <c r="AF43"/>
  <c r="AC43"/>
  <c r="W43"/>
  <c r="V43" s="1"/>
  <c r="R43"/>
  <c r="U43" s="1"/>
  <c r="F43"/>
  <c r="O43" s="1"/>
  <c r="BJ42"/>
  <c r="BI42" s="1"/>
  <c r="BE42"/>
  <c r="BD42"/>
  <c r="AI42"/>
  <c r="AV42" s="1"/>
  <c r="AW42" s="1"/>
  <c r="AG42"/>
  <c r="AF42" s="1"/>
  <c r="AC42"/>
  <c r="W42"/>
  <c r="V42" s="1"/>
  <c r="R42"/>
  <c r="U42" s="1"/>
  <c r="F42"/>
  <c r="O42" s="1"/>
  <c r="BJ41"/>
  <c r="BI41" s="1"/>
  <c r="BE41"/>
  <c r="BD41"/>
  <c r="AI41"/>
  <c r="AF41"/>
  <c r="AC41"/>
  <c r="W41"/>
  <c r="V41" s="1"/>
  <c r="R41"/>
  <c r="U41" s="1"/>
  <c r="F41"/>
  <c r="O41" s="1"/>
  <c r="BJ40"/>
  <c r="BI40"/>
  <c r="BG40"/>
  <c r="BE40"/>
  <c r="BD40"/>
  <c r="AI40"/>
  <c r="AV40" s="1"/>
  <c r="AW40" s="1"/>
  <c r="AF40"/>
  <c r="AC40"/>
  <c r="W40"/>
  <c r="V40"/>
  <c r="R40"/>
  <c r="U40" s="1"/>
  <c r="F40"/>
  <c r="O40" s="1"/>
  <c r="BJ39"/>
  <c r="BI39"/>
  <c r="BE39"/>
  <c r="BD39"/>
  <c r="AI39"/>
  <c r="AV39" s="1"/>
  <c r="AW39" s="1"/>
  <c r="AF39"/>
  <c r="AC39"/>
  <c r="AB39" s="1"/>
  <c r="W39"/>
  <c r="V39" s="1"/>
  <c r="R39"/>
  <c r="U39" s="1"/>
  <c r="F39"/>
  <c r="O39" s="1"/>
  <c r="BJ38"/>
  <c r="BI38" s="1"/>
  <c r="BE38"/>
  <c r="BD38"/>
  <c r="BC38" s="1"/>
  <c r="AI38"/>
  <c r="AF38"/>
  <c r="AC38"/>
  <c r="W38"/>
  <c r="V38" s="1"/>
  <c r="R38"/>
  <c r="U38" s="1"/>
  <c r="F38"/>
  <c r="O38" s="1"/>
  <c r="BJ37"/>
  <c r="BI37" s="1"/>
  <c r="BE37"/>
  <c r="BD37"/>
  <c r="AI37"/>
  <c r="AV37" s="1"/>
  <c r="AW37" s="1"/>
  <c r="AF37"/>
  <c r="AC37"/>
  <c r="AB37" s="1"/>
  <c r="W37"/>
  <c r="V37"/>
  <c r="R37"/>
  <c r="U37" s="1"/>
  <c r="F37"/>
  <c r="O37" s="1"/>
  <c r="BJ36"/>
  <c r="BI36"/>
  <c r="BE36"/>
  <c r="BD36"/>
  <c r="AI36"/>
  <c r="AF36"/>
  <c r="AC36"/>
  <c r="W36"/>
  <c r="V36" s="1"/>
  <c r="R36"/>
  <c r="U36" s="1"/>
  <c r="F36"/>
  <c r="O36" s="1"/>
  <c r="BJ35"/>
  <c r="BI35" s="1"/>
  <c r="BE35"/>
  <c r="BD35"/>
  <c r="AI35"/>
  <c r="AV35" s="1"/>
  <c r="AW35" s="1"/>
  <c r="AF35"/>
  <c r="AC35"/>
  <c r="AB35" s="1"/>
  <c r="W35"/>
  <c r="V35" s="1"/>
  <c r="R35"/>
  <c r="U35" s="1"/>
  <c r="F35"/>
  <c r="O35" s="1"/>
  <c r="BJ34"/>
  <c r="BI34" s="1"/>
  <c r="BE34"/>
  <c r="BD34"/>
  <c r="AI34"/>
  <c r="AF34"/>
  <c r="AC34"/>
  <c r="W34"/>
  <c r="V34" s="1"/>
  <c r="R34"/>
  <c r="U34" s="1"/>
  <c r="F34"/>
  <c r="O34" s="1"/>
  <c r="BJ33"/>
  <c r="BI33" s="1"/>
  <c r="BE33"/>
  <c r="BD33"/>
  <c r="AI33"/>
  <c r="AF33"/>
  <c r="AC33"/>
  <c r="W33"/>
  <c r="V33" s="1"/>
  <c r="T33"/>
  <c r="F33"/>
  <c r="O33" s="1"/>
  <c r="BJ32"/>
  <c r="BI32" s="1"/>
  <c r="BE32"/>
  <c r="BD32"/>
  <c r="AI32"/>
  <c r="AV32" s="1"/>
  <c r="AW32" s="1"/>
  <c r="AF32"/>
  <c r="AB32" s="1"/>
  <c r="W32"/>
  <c r="V32" s="1"/>
  <c r="R32"/>
  <c r="U32" s="1"/>
  <c r="F32"/>
  <c r="O32" s="1"/>
  <c r="BJ31"/>
  <c r="BI31" s="1"/>
  <c r="BE31"/>
  <c r="BD31"/>
  <c r="BC31" s="1"/>
  <c r="AI31"/>
  <c r="AV31" s="1"/>
  <c r="AW31" s="1"/>
  <c r="AF31"/>
  <c r="AB31" s="1"/>
  <c r="W31"/>
  <c r="V31" s="1"/>
  <c r="R31"/>
  <c r="U31" s="1"/>
  <c r="F31"/>
  <c r="O31" s="1"/>
  <c r="BJ30"/>
  <c r="BI30" s="1"/>
  <c r="BE30"/>
  <c r="BD30"/>
  <c r="AI30"/>
  <c r="AV30" s="1"/>
  <c r="AW30" s="1"/>
  <c r="AF30"/>
  <c r="AB30" s="1"/>
  <c r="W30"/>
  <c r="V30" s="1"/>
  <c r="R30"/>
  <c r="U30" s="1"/>
  <c r="F30"/>
  <c r="O30" s="1"/>
  <c r="BJ29"/>
  <c r="BI29" s="1"/>
  <c r="BE29"/>
  <c r="BD29"/>
  <c r="AI29"/>
  <c r="AV29" s="1"/>
  <c r="AW29" s="1"/>
  <c r="AF29"/>
  <c r="AC29"/>
  <c r="AB29" s="1"/>
  <c r="W29"/>
  <c r="R29"/>
  <c r="U29" s="1"/>
  <c r="F29"/>
  <c r="O29" s="1"/>
  <c r="BJ28"/>
  <c r="BI28" s="1"/>
  <c r="BE28"/>
  <c r="BD28"/>
  <c r="AI28"/>
  <c r="AV28" s="1"/>
  <c r="AW28" s="1"/>
  <c r="AF28"/>
  <c r="AC28"/>
  <c r="W28"/>
  <c r="AN28" s="1"/>
  <c r="AO28" s="1"/>
  <c r="R28"/>
  <c r="U28" s="1"/>
  <c r="F28"/>
  <c r="O28" s="1"/>
  <c r="BJ27"/>
  <c r="BI27" s="1"/>
  <c r="BE27"/>
  <c r="BD27"/>
  <c r="AI27"/>
  <c r="AV27" s="1"/>
  <c r="AW27" s="1"/>
  <c r="AF27"/>
  <c r="AC27"/>
  <c r="W27"/>
  <c r="R27"/>
  <c r="U27" s="1"/>
  <c r="F27"/>
  <c r="O27" s="1"/>
  <c r="BX164"/>
  <c r="BJ26"/>
  <c r="BI26" s="1"/>
  <c r="BG26"/>
  <c r="BE26"/>
  <c r="BD26"/>
  <c r="AI26"/>
  <c r="AV26" s="1"/>
  <c r="AW26" s="1"/>
  <c r="AF26"/>
  <c r="AC26"/>
  <c r="W26"/>
  <c r="V26" s="1"/>
  <c r="R26"/>
  <c r="U26" s="1"/>
  <c r="F26"/>
  <c r="O26" s="1"/>
  <c r="BJ25"/>
  <c r="BI25" s="1"/>
  <c r="BE25"/>
  <c r="BD25"/>
  <c r="AI25"/>
  <c r="AV25" s="1"/>
  <c r="AW25" s="1"/>
  <c r="AF25"/>
  <c r="AC25"/>
  <c r="W25"/>
  <c r="V25" s="1"/>
  <c r="R25"/>
  <c r="U25" s="1"/>
  <c r="F25"/>
  <c r="O25" s="1"/>
  <c r="BJ24"/>
  <c r="BI24" s="1"/>
  <c r="BE24"/>
  <c r="BD24"/>
  <c r="AI24"/>
  <c r="AV24" s="1"/>
  <c r="AW24" s="1"/>
  <c r="AF24"/>
  <c r="AC24"/>
  <c r="W24"/>
  <c r="V24" s="1"/>
  <c r="R24"/>
  <c r="U24" s="1"/>
  <c r="AT24" s="1"/>
  <c r="AU24" s="1"/>
  <c r="F24"/>
  <c r="O24" s="1"/>
  <c r="BJ23"/>
  <c r="BI23" s="1"/>
  <c r="BE23"/>
  <c r="BD23"/>
  <c r="BC23" s="1"/>
  <c r="AI23"/>
  <c r="AV23" s="1"/>
  <c r="AW23" s="1"/>
  <c r="AF23"/>
  <c r="AC23"/>
  <c r="AB23" s="1"/>
  <c r="W23"/>
  <c r="V23" s="1"/>
  <c r="R23"/>
  <c r="U23" s="1"/>
  <c r="F23"/>
  <c r="O23" s="1"/>
  <c r="BJ22"/>
  <c r="BI22" s="1"/>
  <c r="BE22"/>
  <c r="BD22"/>
  <c r="BC22" s="1"/>
  <c r="AI22"/>
  <c r="AV22" s="1"/>
  <c r="AW22" s="1"/>
  <c r="AF22"/>
  <c r="AC22"/>
  <c r="W22"/>
  <c r="V22" s="1"/>
  <c r="R22"/>
  <c r="U22" s="1"/>
  <c r="F22"/>
  <c r="O22" s="1"/>
  <c r="BJ21"/>
  <c r="BI21" s="1"/>
  <c r="BG21"/>
  <c r="BE21"/>
  <c r="BD21"/>
  <c r="AI21"/>
  <c r="AV21" s="1"/>
  <c r="AW21" s="1"/>
  <c r="AF21"/>
  <c r="AC21"/>
  <c r="W21"/>
  <c r="R21"/>
  <c r="U21" s="1"/>
  <c r="AM21" s="1"/>
  <c r="F21"/>
  <c r="O21" s="1"/>
  <c r="BJ20"/>
  <c r="BI20" s="1"/>
  <c r="BE20"/>
  <c r="BD20"/>
  <c r="AI20"/>
  <c r="AV20" s="1"/>
  <c r="AW20" s="1"/>
  <c r="AF20"/>
  <c r="AC20"/>
  <c r="W20"/>
  <c r="V20" s="1"/>
  <c r="R20"/>
  <c r="U20" s="1"/>
  <c r="F20"/>
  <c r="O20" s="1"/>
  <c r="BJ19"/>
  <c r="BI19" s="1"/>
  <c r="BE19"/>
  <c r="BD19"/>
  <c r="AI19"/>
  <c r="AV19" s="1"/>
  <c r="AW19" s="1"/>
  <c r="AF19"/>
  <c r="AC19"/>
  <c r="W19"/>
  <c r="R19"/>
  <c r="U19" s="1"/>
  <c r="F19"/>
  <c r="O19" s="1"/>
  <c r="BJ18"/>
  <c r="BI18" s="1"/>
  <c r="BE18"/>
  <c r="BD18"/>
  <c r="AI18"/>
  <c r="AV18" s="1"/>
  <c r="AW18" s="1"/>
  <c r="AF18"/>
  <c r="AC18"/>
  <c r="W18"/>
  <c r="V18" s="1"/>
  <c r="R18"/>
  <c r="U18" s="1"/>
  <c r="F18"/>
  <c r="O18" s="1"/>
  <c r="BJ17"/>
  <c r="BI17" s="1"/>
  <c r="BE17"/>
  <c r="BD17"/>
  <c r="AI17"/>
  <c r="AV17" s="1"/>
  <c r="AW17" s="1"/>
  <c r="AF17"/>
  <c r="AC17"/>
  <c r="W17"/>
  <c r="R17"/>
  <c r="U17" s="1"/>
  <c r="AM17" s="1"/>
  <c r="F17"/>
  <c r="O17" s="1"/>
  <c r="BJ16"/>
  <c r="BI16" s="1"/>
  <c r="BE16"/>
  <c r="BD16"/>
  <c r="AI16"/>
  <c r="AV16" s="1"/>
  <c r="AW16" s="1"/>
  <c r="AF16"/>
  <c r="AC16"/>
  <c r="W16"/>
  <c r="V16" s="1"/>
  <c r="R16"/>
  <c r="U16" s="1"/>
  <c r="F16"/>
  <c r="O16" s="1"/>
  <c r="BJ15"/>
  <c r="BI15" s="1"/>
  <c r="BE15"/>
  <c r="BD15"/>
  <c r="AI15"/>
  <c r="AV15" s="1"/>
  <c r="AW15" s="1"/>
  <c r="AF15"/>
  <c r="AC15"/>
  <c r="W15"/>
  <c r="V15" s="1"/>
  <c r="R15"/>
  <c r="U15" s="1"/>
  <c r="F15"/>
  <c r="O15" s="1"/>
  <c r="BJ14"/>
  <c r="BI14" s="1"/>
  <c r="BE14"/>
  <c r="BD14"/>
  <c r="AI14"/>
  <c r="AV14" s="1"/>
  <c r="AW14" s="1"/>
  <c r="AF14"/>
  <c r="AC14"/>
  <c r="W14"/>
  <c r="V14" s="1"/>
  <c r="R14"/>
  <c r="U14" s="1"/>
  <c r="F14"/>
  <c r="O14" s="1"/>
  <c r="BJ13"/>
  <c r="BI13" s="1"/>
  <c r="BE13"/>
  <c r="BD13"/>
  <c r="AI13"/>
  <c r="AV13" s="1"/>
  <c r="AW13" s="1"/>
  <c r="AF13"/>
  <c r="AC13"/>
  <c r="W13"/>
  <c r="V13" s="1"/>
  <c r="R13"/>
  <c r="U13" s="1"/>
  <c r="F13"/>
  <c r="O13" s="1"/>
  <c r="BJ12"/>
  <c r="BI12" s="1"/>
  <c r="BE12"/>
  <c r="BD12"/>
  <c r="AI12"/>
  <c r="AV12" s="1"/>
  <c r="AW12" s="1"/>
  <c r="AF12"/>
  <c r="AB12" s="1"/>
  <c r="W12"/>
  <c r="V12" s="1"/>
  <c r="R12"/>
  <c r="U12" s="1"/>
  <c r="F12"/>
  <c r="O12" s="1"/>
  <c r="BJ11"/>
  <c r="BI11" s="1"/>
  <c r="BE11"/>
  <c r="BD11"/>
  <c r="AI11"/>
  <c r="AV11" s="1"/>
  <c r="AW11" s="1"/>
  <c r="AF11"/>
  <c r="AC11"/>
  <c r="W11"/>
  <c r="V11" s="1"/>
  <c r="R11"/>
  <c r="U11" s="1"/>
  <c r="F11"/>
  <c r="O11" s="1"/>
  <c r="BJ10"/>
  <c r="BI10" s="1"/>
  <c r="BE10"/>
  <c r="BD10"/>
  <c r="AI10"/>
  <c r="AV10" s="1"/>
  <c r="AW10" s="1"/>
  <c r="AF10"/>
  <c r="AC10"/>
  <c r="W10"/>
  <c r="V10" s="1"/>
  <c r="R10"/>
  <c r="U10" s="1"/>
  <c r="F10"/>
  <c r="O10" s="1"/>
  <c r="BJ9"/>
  <c r="BI9" s="1"/>
  <c r="BG9"/>
  <c r="BE9"/>
  <c r="BD9"/>
  <c r="AI9"/>
  <c r="AV9" s="1"/>
  <c r="AW9" s="1"/>
  <c r="AF9"/>
  <c r="AC9"/>
  <c r="W9"/>
  <c r="V9" s="1"/>
  <c r="R9"/>
  <c r="U9" s="1"/>
  <c r="F9"/>
  <c r="O9" s="1"/>
  <c r="BJ8"/>
  <c r="BI8" s="1"/>
  <c r="BE8"/>
  <c r="BD8"/>
  <c r="AI8"/>
  <c r="AF8"/>
  <c r="AC8"/>
  <c r="W8"/>
  <c r="R8"/>
  <c r="U8" s="1"/>
  <c r="F8"/>
  <c r="O8" s="1"/>
  <c r="CC163" i="3"/>
  <c r="BY163"/>
  <c r="BX163"/>
  <c r="BW163"/>
  <c r="BR163"/>
  <c r="BL163"/>
  <c r="BK163"/>
  <c r="BJ163" s="1"/>
  <c r="BI163" s="1"/>
  <c r="BE163"/>
  <c r="BC163"/>
  <c r="AZ163"/>
  <c r="AS163"/>
  <c r="AD163"/>
  <c r="AC163"/>
  <c r="AB163" s="1"/>
  <c r="Q163" s="1"/>
  <c r="V163"/>
  <c r="R163"/>
  <c r="N163"/>
  <c r="L163"/>
  <c r="F163"/>
  <c r="AG163" s="1"/>
  <c r="BJ162"/>
  <c r="BI162" s="1"/>
  <c r="BE162"/>
  <c r="BC162"/>
  <c r="AI162"/>
  <c r="AF162"/>
  <c r="AC162"/>
  <c r="AB162"/>
  <c r="W162"/>
  <c r="V162" s="1"/>
  <c r="R162"/>
  <c r="U162" s="1"/>
  <c r="F162"/>
  <c r="O162" s="1"/>
  <c r="BW161"/>
  <c r="BT161"/>
  <c r="BJ161"/>
  <c r="BE161"/>
  <c r="BC161"/>
  <c r="AI161"/>
  <c r="AF161"/>
  <c r="AC161"/>
  <c r="W161"/>
  <c r="V161" s="1"/>
  <c r="U161"/>
  <c r="R161"/>
  <c r="O161"/>
  <c r="F161"/>
  <c r="CE160"/>
  <c r="CE164" s="1"/>
  <c r="CD160"/>
  <c r="CD164" s="1"/>
  <c r="CC160"/>
  <c r="CA160"/>
  <c r="CA164" s="1"/>
  <c r="BY160"/>
  <c r="BY164" s="1"/>
  <c r="BV160"/>
  <c r="BV164" s="1"/>
  <c r="BU160"/>
  <c r="BU164" s="1"/>
  <c r="BT160"/>
  <c r="BT164" s="1"/>
  <c r="BR160"/>
  <c r="BR164" s="1"/>
  <c r="BQ160"/>
  <c r="BQ164" s="1"/>
  <c r="BO160"/>
  <c r="BO164" s="1"/>
  <c r="BN160"/>
  <c r="BN164" s="1"/>
  <c r="BM160"/>
  <c r="BM164" s="1"/>
  <c r="BL160"/>
  <c r="BL164" s="1"/>
  <c r="BK160"/>
  <c r="BJ160" s="1"/>
  <c r="BJ164" s="1"/>
  <c r="BH160"/>
  <c r="BH164" s="1"/>
  <c r="BA160"/>
  <c r="BA164" s="1"/>
  <c r="AY160"/>
  <c r="AY164" s="1"/>
  <c r="AR160"/>
  <c r="AR164" s="1"/>
  <c r="AH160"/>
  <c r="AH164" s="1"/>
  <c r="AD160"/>
  <c r="AD164" s="1"/>
  <c r="AA160"/>
  <c r="AA164" s="1"/>
  <c r="Z160"/>
  <c r="Z164" s="1"/>
  <c r="Y160"/>
  <c r="Y164" s="1"/>
  <c r="X160"/>
  <c r="X164" s="1"/>
  <c r="S160"/>
  <c r="S164" s="1"/>
  <c r="M160"/>
  <c r="M164" s="1"/>
  <c r="L160"/>
  <c r="L164" s="1"/>
  <c r="H160"/>
  <c r="H164" s="1"/>
  <c r="BJ159"/>
  <c r="BI159" s="1"/>
  <c r="BE159"/>
  <c r="BD159"/>
  <c r="AI159"/>
  <c r="AF159"/>
  <c r="AC159"/>
  <c r="AB159"/>
  <c r="W159"/>
  <c r="R159"/>
  <c r="U159" s="1"/>
  <c r="F159"/>
  <c r="O159" s="1"/>
  <c r="BJ158"/>
  <c r="BI158" s="1"/>
  <c r="BE158"/>
  <c r="BD158"/>
  <c r="AI158"/>
  <c r="AV158" s="1"/>
  <c r="AW158" s="1"/>
  <c r="AF158"/>
  <c r="AB158" s="1"/>
  <c r="AC158"/>
  <c r="W158"/>
  <c r="V158" s="1"/>
  <c r="R158"/>
  <c r="U158" s="1"/>
  <c r="F158"/>
  <c r="O158" s="1"/>
  <c r="BX157"/>
  <c r="BJ157"/>
  <c r="BI157"/>
  <c r="BE157"/>
  <c r="BC157" s="1"/>
  <c r="BD157"/>
  <c r="AI157"/>
  <c r="AF157"/>
  <c r="AC157"/>
  <c r="AB157" s="1"/>
  <c r="W157"/>
  <c r="V157" s="1"/>
  <c r="R157"/>
  <c r="U157" s="1"/>
  <c r="F157"/>
  <c r="O157" s="1"/>
  <c r="BJ156"/>
  <c r="BI156"/>
  <c r="BE156"/>
  <c r="BD156"/>
  <c r="AI156"/>
  <c r="AF156"/>
  <c r="AC156"/>
  <c r="AB156" s="1"/>
  <c r="W156"/>
  <c r="V156" s="1"/>
  <c r="R156"/>
  <c r="U156" s="1"/>
  <c r="F156"/>
  <c r="O156" s="1"/>
  <c r="BJ155"/>
  <c r="BI155" s="1"/>
  <c r="BE155"/>
  <c r="BD155"/>
  <c r="BC155" s="1"/>
  <c r="AI155"/>
  <c r="AF155"/>
  <c r="AC155"/>
  <c r="AB155"/>
  <c r="W155"/>
  <c r="V155" s="1"/>
  <c r="R155"/>
  <c r="U155" s="1"/>
  <c r="F155"/>
  <c r="O155" s="1"/>
  <c r="BJ154"/>
  <c r="BI154" s="1"/>
  <c r="BE154"/>
  <c r="BD154"/>
  <c r="BC154" s="1"/>
  <c r="AI154"/>
  <c r="AF154"/>
  <c r="AC154"/>
  <c r="AB154"/>
  <c r="W154"/>
  <c r="V154" s="1"/>
  <c r="R154"/>
  <c r="U154" s="1"/>
  <c r="F154"/>
  <c r="O154" s="1"/>
  <c r="BJ153"/>
  <c r="BI153"/>
  <c r="BE153"/>
  <c r="BD153"/>
  <c r="AI153"/>
  <c r="AF153"/>
  <c r="AC153"/>
  <c r="AB153" s="1"/>
  <c r="W153"/>
  <c r="V153" s="1"/>
  <c r="R153"/>
  <c r="U153" s="1"/>
  <c r="F153"/>
  <c r="O153" s="1"/>
  <c r="BJ152"/>
  <c r="BI152"/>
  <c r="BE152"/>
  <c r="BD152"/>
  <c r="AI152"/>
  <c r="AF152"/>
  <c r="AC152"/>
  <c r="AB152" s="1"/>
  <c r="W152"/>
  <c r="V152" s="1"/>
  <c r="R152"/>
  <c r="U152" s="1"/>
  <c r="F152"/>
  <c r="O152" s="1"/>
  <c r="BZ151"/>
  <c r="BJ151"/>
  <c r="BI151" s="1"/>
  <c r="BE151"/>
  <c r="BD151"/>
  <c r="BC151" s="1"/>
  <c r="AI151"/>
  <c r="AV151" s="1"/>
  <c r="AW151" s="1"/>
  <c r="AF151"/>
  <c r="AC151"/>
  <c r="AB151" s="1"/>
  <c r="W151"/>
  <c r="V151" s="1"/>
  <c r="R151"/>
  <c r="U151" s="1"/>
  <c r="AX151" s="1"/>
  <c r="O151"/>
  <c r="F151"/>
  <c r="BJ150"/>
  <c r="BI150" s="1"/>
  <c r="BE150"/>
  <c r="BD150"/>
  <c r="BC150" s="1"/>
  <c r="AI150"/>
  <c r="AV150" s="1"/>
  <c r="AW150" s="1"/>
  <c r="AF150"/>
  <c r="AC150"/>
  <c r="AB150" s="1"/>
  <c r="W150"/>
  <c r="V150" s="1"/>
  <c r="R150"/>
  <c r="U150" s="1"/>
  <c r="AX150" s="1"/>
  <c r="O150"/>
  <c r="F150"/>
  <c r="BJ149"/>
  <c r="BI149" s="1"/>
  <c r="BE149"/>
  <c r="BD149"/>
  <c r="BC149" s="1"/>
  <c r="AI149"/>
  <c r="AV149" s="1"/>
  <c r="AW149" s="1"/>
  <c r="AF149"/>
  <c r="AC149"/>
  <c r="AB149" s="1"/>
  <c r="W149"/>
  <c r="V149" s="1"/>
  <c r="U149"/>
  <c r="AX149" s="1"/>
  <c r="R149"/>
  <c r="O149"/>
  <c r="F149"/>
  <c r="BJ148"/>
  <c r="BI148" s="1"/>
  <c r="BE148"/>
  <c r="BC148" s="1"/>
  <c r="AI148"/>
  <c r="AE148"/>
  <c r="AC148"/>
  <c r="AB148" s="1"/>
  <c r="W148"/>
  <c r="V148" s="1"/>
  <c r="R148"/>
  <c r="U148" s="1"/>
  <c r="N148"/>
  <c r="F148"/>
  <c r="BJ147"/>
  <c r="BI147" s="1"/>
  <c r="BE147"/>
  <c r="BC147" s="1"/>
  <c r="AE147"/>
  <c r="AB147" s="1"/>
  <c r="AC147"/>
  <c r="W147"/>
  <c r="V147" s="1"/>
  <c r="R147"/>
  <c r="U147" s="1"/>
  <c r="I147"/>
  <c r="AI147" s="1"/>
  <c r="BJ146"/>
  <c r="BI146" s="1"/>
  <c r="BE146"/>
  <c r="BC146" s="1"/>
  <c r="AE146"/>
  <c r="AB146" s="1"/>
  <c r="AC146"/>
  <c r="W146"/>
  <c r="V146" s="1"/>
  <c r="T146"/>
  <c r="I146"/>
  <c r="AI146" s="1"/>
  <c r="BJ145"/>
  <c r="BI145" s="1"/>
  <c r="BE145"/>
  <c r="BC145"/>
  <c r="AE145"/>
  <c r="AC145"/>
  <c r="AB145" s="1"/>
  <c r="W145"/>
  <c r="V145" s="1"/>
  <c r="T145"/>
  <c r="I145"/>
  <c r="F145" s="1"/>
  <c r="O145" s="1"/>
  <c r="BJ144"/>
  <c r="BI144" s="1"/>
  <c r="BE144"/>
  <c r="BC144" s="1"/>
  <c r="AE144"/>
  <c r="AC144"/>
  <c r="W144"/>
  <c r="V144" s="1"/>
  <c r="U144"/>
  <c r="R144"/>
  <c r="I144"/>
  <c r="AI144" s="1"/>
  <c r="BJ143"/>
  <c r="BI143" s="1"/>
  <c r="BE143"/>
  <c r="BC143" s="1"/>
  <c r="AE143"/>
  <c r="AC143"/>
  <c r="W143"/>
  <c r="V143" s="1"/>
  <c r="T143"/>
  <c r="AV143" s="1"/>
  <c r="AW143" s="1"/>
  <c r="I143"/>
  <c r="AI143" s="1"/>
  <c r="F143"/>
  <c r="O143" s="1"/>
  <c r="BJ142"/>
  <c r="BI142"/>
  <c r="BE142"/>
  <c r="BC142" s="1"/>
  <c r="AE142"/>
  <c r="AC142"/>
  <c r="AB142" s="1"/>
  <c r="W142"/>
  <c r="V142" s="1"/>
  <c r="T142"/>
  <c r="R142" s="1"/>
  <c r="U142" s="1"/>
  <c r="I142"/>
  <c r="F142" s="1"/>
  <c r="O142" s="1"/>
  <c r="BS141"/>
  <c r="BS160" s="1"/>
  <c r="BS164" s="1"/>
  <c r="BJ141"/>
  <c r="BE141"/>
  <c r="BC141"/>
  <c r="AE141"/>
  <c r="AC141"/>
  <c r="AB141" s="1"/>
  <c r="W141"/>
  <c r="V141" s="1"/>
  <c r="T141"/>
  <c r="K141"/>
  <c r="K160" s="1"/>
  <c r="K164" s="1"/>
  <c r="I141"/>
  <c r="F141" s="1"/>
  <c r="O141" s="1"/>
  <c r="BJ140"/>
  <c r="BI140"/>
  <c r="BE140"/>
  <c r="BC140" s="1"/>
  <c r="AE140"/>
  <c r="AC140"/>
  <c r="AB140" s="1"/>
  <c r="W140"/>
  <c r="V140" s="1"/>
  <c r="T140"/>
  <c r="R140" s="1"/>
  <c r="U140" s="1"/>
  <c r="I140"/>
  <c r="BJ139"/>
  <c r="BI139" s="1"/>
  <c r="BE139"/>
  <c r="BC139" s="1"/>
  <c r="AE139"/>
  <c r="AC139"/>
  <c r="AB139" s="1"/>
  <c r="W139"/>
  <c r="V139" s="1"/>
  <c r="T139"/>
  <c r="I139"/>
  <c r="AI139" s="1"/>
  <c r="BJ138"/>
  <c r="BI138" s="1"/>
  <c r="BE138"/>
  <c r="BC138"/>
  <c r="AE138"/>
  <c r="AC138"/>
  <c r="W138"/>
  <c r="V138"/>
  <c r="T138"/>
  <c r="AV138" s="1"/>
  <c r="AW138" s="1"/>
  <c r="I138"/>
  <c r="AI138" s="1"/>
  <c r="F138"/>
  <c r="O138" s="1"/>
  <c r="BJ137"/>
  <c r="BI137" s="1"/>
  <c r="BE137"/>
  <c r="BC137" s="1"/>
  <c r="AE137"/>
  <c r="AC137"/>
  <c r="W137"/>
  <c r="V137"/>
  <c r="T137"/>
  <c r="R137"/>
  <c r="U137" s="1"/>
  <c r="I137"/>
  <c r="AI137" s="1"/>
  <c r="AV137" s="1"/>
  <c r="AW137" s="1"/>
  <c r="BJ136"/>
  <c r="BI136"/>
  <c r="BE136"/>
  <c r="BC136" s="1"/>
  <c r="AI136"/>
  <c r="AV136" s="1"/>
  <c r="AW136" s="1"/>
  <c r="AE136"/>
  <c r="AC136"/>
  <c r="W136"/>
  <c r="V136" s="1"/>
  <c r="R136"/>
  <c r="U136" s="1"/>
  <c r="F136"/>
  <c r="O136" s="1"/>
  <c r="BJ135"/>
  <c r="BI135" s="1"/>
  <c r="BE135"/>
  <c r="BC135" s="1"/>
  <c r="AE135"/>
  <c r="AC135"/>
  <c r="W135"/>
  <c r="V135" s="1"/>
  <c r="T135"/>
  <c r="R135" s="1"/>
  <c r="U135" s="1"/>
  <c r="I135"/>
  <c r="AI135" s="1"/>
  <c r="F135"/>
  <c r="O135" s="1"/>
  <c r="BJ134"/>
  <c r="BI134" s="1"/>
  <c r="BE134"/>
  <c r="BC134" s="1"/>
  <c r="AE134"/>
  <c r="AC134"/>
  <c r="W134"/>
  <c r="T134"/>
  <c r="R134"/>
  <c r="U134" s="1"/>
  <c r="I134"/>
  <c r="F134" s="1"/>
  <c r="O134" s="1"/>
  <c r="BJ133"/>
  <c r="BI133" s="1"/>
  <c r="BE133"/>
  <c r="BC133"/>
  <c r="AW133"/>
  <c r="AI133"/>
  <c r="AV133" s="1"/>
  <c r="AE133"/>
  <c r="AC133"/>
  <c r="AB133" s="1"/>
  <c r="W133"/>
  <c r="V133" s="1"/>
  <c r="R133"/>
  <c r="U133" s="1"/>
  <c r="O133"/>
  <c r="F133"/>
  <c r="BJ132"/>
  <c r="BI132" s="1"/>
  <c r="BE132"/>
  <c r="BC132" s="1"/>
  <c r="AI132"/>
  <c r="AV132" s="1"/>
  <c r="AW132" s="1"/>
  <c r="AC132"/>
  <c r="AB132" s="1"/>
  <c r="W132"/>
  <c r="V132" s="1"/>
  <c r="R132"/>
  <c r="U132" s="1"/>
  <c r="F132"/>
  <c r="O132" s="1"/>
  <c r="BJ131"/>
  <c r="BI131"/>
  <c r="BE131"/>
  <c r="BC131" s="1"/>
  <c r="AI131"/>
  <c r="AV131" s="1"/>
  <c r="AW131" s="1"/>
  <c r="AC131"/>
  <c r="AB131" s="1"/>
  <c r="W131"/>
  <c r="V131" s="1"/>
  <c r="U131"/>
  <c r="AM131" s="1"/>
  <c r="R131"/>
  <c r="F131"/>
  <c r="O131" s="1"/>
  <c r="BJ130"/>
  <c r="BI130" s="1"/>
  <c r="BE130"/>
  <c r="BC130" s="1"/>
  <c r="AC130"/>
  <c r="AB130" s="1"/>
  <c r="W130"/>
  <c r="V130"/>
  <c r="U130"/>
  <c r="R130"/>
  <c r="I130"/>
  <c r="BJ129"/>
  <c r="BI129" s="1"/>
  <c r="BE129"/>
  <c r="BC129" s="1"/>
  <c r="AC129"/>
  <c r="AB129"/>
  <c r="W129"/>
  <c r="V129" s="1"/>
  <c r="T129"/>
  <c r="AV129" s="1"/>
  <c r="AW129" s="1"/>
  <c r="I129"/>
  <c r="AI129" s="1"/>
  <c r="BJ128"/>
  <c r="BI128"/>
  <c r="BE128"/>
  <c r="BC128" s="1"/>
  <c r="AC128"/>
  <c r="AB128" s="1"/>
  <c r="W128"/>
  <c r="V128"/>
  <c r="T128"/>
  <c r="R128" s="1"/>
  <c r="U128" s="1"/>
  <c r="AP128" s="1"/>
  <c r="AQ128" s="1"/>
  <c r="I128"/>
  <c r="AI128" s="1"/>
  <c r="F128"/>
  <c r="O128" s="1"/>
  <c r="BP127"/>
  <c r="BI127" s="1"/>
  <c r="BJ127"/>
  <c r="BE127"/>
  <c r="BC127"/>
  <c r="AI127"/>
  <c r="AC127"/>
  <c r="AB127" s="1"/>
  <c r="W127"/>
  <c r="V127" s="1"/>
  <c r="T127"/>
  <c r="O127"/>
  <c r="I127"/>
  <c r="F127" s="1"/>
  <c r="AG127" s="1"/>
  <c r="BJ126"/>
  <c r="BI126" s="1"/>
  <c r="BE126"/>
  <c r="BC126" s="1"/>
  <c r="AC126"/>
  <c r="AB126"/>
  <c r="W126"/>
  <c r="V126" s="1"/>
  <c r="T126"/>
  <c r="I126"/>
  <c r="AI126" s="1"/>
  <c r="AV126" s="1"/>
  <c r="AW126" s="1"/>
  <c r="F126"/>
  <c r="BJ125"/>
  <c r="BI125" s="1"/>
  <c r="BE125"/>
  <c r="BC125" s="1"/>
  <c r="AC125"/>
  <c r="AB125" s="1"/>
  <c r="W125"/>
  <c r="V125"/>
  <c r="T125"/>
  <c r="R125"/>
  <c r="U125" s="1"/>
  <c r="I125"/>
  <c r="AI125" s="1"/>
  <c r="AV125" s="1"/>
  <c r="AW125" s="1"/>
  <c r="BJ124"/>
  <c r="BI124"/>
  <c r="BE124"/>
  <c r="BC124" s="1"/>
  <c r="AC124"/>
  <c r="AB124"/>
  <c r="W124"/>
  <c r="V124" s="1"/>
  <c r="T124"/>
  <c r="R124" s="1"/>
  <c r="U124" s="1"/>
  <c r="I124"/>
  <c r="F124" s="1"/>
  <c r="BJ123"/>
  <c r="BI123" s="1"/>
  <c r="BE123"/>
  <c r="BD123"/>
  <c r="BC123"/>
  <c r="AV123"/>
  <c r="AW123" s="1"/>
  <c r="AI123"/>
  <c r="AF123"/>
  <c r="AC123"/>
  <c r="AB123" s="1"/>
  <c r="W123"/>
  <c r="V123" s="1"/>
  <c r="R123"/>
  <c r="U123" s="1"/>
  <c r="O123"/>
  <c r="F123"/>
  <c r="BJ122"/>
  <c r="BI122" s="1"/>
  <c r="BE122"/>
  <c r="BD122"/>
  <c r="BC122" s="1"/>
  <c r="AV122"/>
  <c r="AW122" s="1"/>
  <c r="AT122"/>
  <c r="AU122" s="1"/>
  <c r="AS122"/>
  <c r="AP122"/>
  <c r="AQ122" s="1"/>
  <c r="AN122"/>
  <c r="AO122" s="1"/>
  <c r="AM122"/>
  <c r="AL122"/>
  <c r="AL160" s="1"/>
  <c r="AL164" s="1"/>
  <c r="AI122"/>
  <c r="AF122"/>
  <c r="AC122"/>
  <c r="W122"/>
  <c r="V122"/>
  <c r="U122"/>
  <c r="R122"/>
  <c r="F122"/>
  <c r="O122" s="1"/>
  <c r="BJ121"/>
  <c r="BI121" s="1"/>
  <c r="BF121"/>
  <c r="BE121" s="1"/>
  <c r="BD121"/>
  <c r="AI121"/>
  <c r="AG121"/>
  <c r="AF121" s="1"/>
  <c r="AB121" s="1"/>
  <c r="AC121"/>
  <c r="W121"/>
  <c r="V121" s="1"/>
  <c r="R121"/>
  <c r="U121" s="1"/>
  <c r="AN121" s="1"/>
  <c r="AO121" s="1"/>
  <c r="F121"/>
  <c r="O121" s="1"/>
  <c r="BX120"/>
  <c r="BJ120"/>
  <c r="BI120" s="1"/>
  <c r="BE120"/>
  <c r="BD120"/>
  <c r="BC120" s="1"/>
  <c r="AI120"/>
  <c r="AS120" s="1"/>
  <c r="AF120"/>
  <c r="AC120"/>
  <c r="W120"/>
  <c r="V120"/>
  <c r="U120"/>
  <c r="R120"/>
  <c r="F120"/>
  <c r="O120" s="1"/>
  <c r="BZ119"/>
  <c r="BJ119"/>
  <c r="BI119" s="1"/>
  <c r="BE119"/>
  <c r="BD119"/>
  <c r="BC119" s="1"/>
  <c r="AI119"/>
  <c r="AF119"/>
  <c r="AC119"/>
  <c r="W119"/>
  <c r="V119"/>
  <c r="U119"/>
  <c r="AX119" s="1"/>
  <c r="R119"/>
  <c r="F119"/>
  <c r="O119" s="1"/>
  <c r="BJ118"/>
  <c r="BI118" s="1"/>
  <c r="BE118"/>
  <c r="BD118"/>
  <c r="AI118"/>
  <c r="AF118"/>
  <c r="AC118"/>
  <c r="W118"/>
  <c r="V118"/>
  <c r="U118"/>
  <c r="R118"/>
  <c r="F118"/>
  <c r="O118" s="1"/>
  <c r="BJ117"/>
  <c r="BI117" s="1"/>
  <c r="BE117"/>
  <c r="BD117"/>
  <c r="BC117"/>
  <c r="AI117"/>
  <c r="AF117"/>
  <c r="AC117"/>
  <c r="AB117"/>
  <c r="W117"/>
  <c r="V117" s="1"/>
  <c r="R117"/>
  <c r="U117" s="1"/>
  <c r="F117"/>
  <c r="O117" s="1"/>
  <c r="BJ116"/>
  <c r="BI116"/>
  <c r="BE116"/>
  <c r="BC116" s="1"/>
  <c r="BD116"/>
  <c r="AI116"/>
  <c r="AF116"/>
  <c r="AB116" s="1"/>
  <c r="AC116"/>
  <c r="W116"/>
  <c r="V116" s="1"/>
  <c r="R116"/>
  <c r="U116" s="1"/>
  <c r="F116"/>
  <c r="O116" s="1"/>
  <c r="BJ115"/>
  <c r="BI115" s="1"/>
  <c r="BE115"/>
  <c r="BD115"/>
  <c r="AI115"/>
  <c r="AF115"/>
  <c r="AC115"/>
  <c r="AB115" s="1"/>
  <c r="W115"/>
  <c r="V115" s="1"/>
  <c r="R115"/>
  <c r="U115" s="1"/>
  <c r="O115"/>
  <c r="F115"/>
  <c r="BJ114"/>
  <c r="BI114" s="1"/>
  <c r="BE114"/>
  <c r="BD114"/>
  <c r="AI114"/>
  <c r="AF114"/>
  <c r="AC114"/>
  <c r="AB114" s="1"/>
  <c r="W114"/>
  <c r="V114" s="1"/>
  <c r="R114"/>
  <c r="U114" s="1"/>
  <c r="O114"/>
  <c r="F114"/>
  <c r="BJ113"/>
  <c r="BI113" s="1"/>
  <c r="BE113"/>
  <c r="BD113"/>
  <c r="BC113" s="1"/>
  <c r="AI113"/>
  <c r="AF113"/>
  <c r="AC113"/>
  <c r="AB113" s="1"/>
  <c r="W113"/>
  <c r="V113" s="1"/>
  <c r="R113"/>
  <c r="U113" s="1"/>
  <c r="F113"/>
  <c r="O113" s="1"/>
  <c r="BJ112"/>
  <c r="BI112"/>
  <c r="BE112"/>
  <c r="BC112" s="1"/>
  <c r="BD112"/>
  <c r="AI112"/>
  <c r="AV112" s="1"/>
  <c r="AW112" s="1"/>
  <c r="AF112"/>
  <c r="AC112"/>
  <c r="AB112" s="1"/>
  <c r="W112"/>
  <c r="V112" s="1"/>
  <c r="R112"/>
  <c r="U112" s="1"/>
  <c r="AJ112" s="1"/>
  <c r="AK112" s="1"/>
  <c r="F112"/>
  <c r="O112" s="1"/>
  <c r="BJ111"/>
  <c r="BI111"/>
  <c r="BE111"/>
  <c r="BC111" s="1"/>
  <c r="BD111"/>
  <c r="AI111"/>
  <c r="AV111" s="1"/>
  <c r="AW111" s="1"/>
  <c r="AF111"/>
  <c r="AC111"/>
  <c r="AB111" s="1"/>
  <c r="W111"/>
  <c r="V111" s="1"/>
  <c r="R111"/>
  <c r="U111" s="1"/>
  <c r="AT111" s="1"/>
  <c r="AU111" s="1"/>
  <c r="F111"/>
  <c r="O111" s="1"/>
  <c r="BJ110"/>
  <c r="BI110"/>
  <c r="BE110"/>
  <c r="BC110" s="1"/>
  <c r="BD110"/>
  <c r="AI110"/>
  <c r="AV110" s="1"/>
  <c r="AW110" s="1"/>
  <c r="AF110"/>
  <c r="AC110"/>
  <c r="AB110"/>
  <c r="W110"/>
  <c r="V110" s="1"/>
  <c r="R110"/>
  <c r="U110" s="1"/>
  <c r="AX110" s="1"/>
  <c r="F110"/>
  <c r="O110" s="1"/>
  <c r="BJ109"/>
  <c r="BI109"/>
  <c r="BE109"/>
  <c r="BC109" s="1"/>
  <c r="BD109"/>
  <c r="AG109"/>
  <c r="AC109"/>
  <c r="AB109" s="1"/>
  <c r="W109"/>
  <c r="V109" s="1"/>
  <c r="U109"/>
  <c r="R109"/>
  <c r="O109"/>
  <c r="F109"/>
  <c r="BJ108"/>
  <c r="BI108" s="1"/>
  <c r="BE108"/>
  <c r="BD108"/>
  <c r="AC108"/>
  <c r="AB108"/>
  <c r="W108"/>
  <c r="V108" s="1"/>
  <c r="Q108" s="1"/>
  <c r="U108"/>
  <c r="R108"/>
  <c r="F108"/>
  <c r="O108" s="1"/>
  <c r="BJ107"/>
  <c r="BI107" s="1"/>
  <c r="BE107"/>
  <c r="BD107"/>
  <c r="AG107"/>
  <c r="AC107"/>
  <c r="AB107" s="1"/>
  <c r="W107"/>
  <c r="V107"/>
  <c r="U107"/>
  <c r="Q107" s="1"/>
  <c r="R107"/>
  <c r="F107"/>
  <c r="O107" s="1"/>
  <c r="BJ106"/>
  <c r="BI106" s="1"/>
  <c r="BE106"/>
  <c r="BD106"/>
  <c r="BC106"/>
  <c r="AG106"/>
  <c r="AC106"/>
  <c r="AB106" s="1"/>
  <c r="W106"/>
  <c r="V106" s="1"/>
  <c r="U106"/>
  <c r="R106"/>
  <c r="F106"/>
  <c r="O106" s="1"/>
  <c r="BJ105"/>
  <c r="BI105" s="1"/>
  <c r="BE105"/>
  <c r="BD105"/>
  <c r="AI105"/>
  <c r="AV105" s="1"/>
  <c r="AW105" s="1"/>
  <c r="AF105"/>
  <c r="AC105"/>
  <c r="W105"/>
  <c r="V105" s="1"/>
  <c r="R105"/>
  <c r="U105" s="1"/>
  <c r="F105"/>
  <c r="O105" s="1"/>
  <c r="BJ104"/>
  <c r="BI104"/>
  <c r="BE104"/>
  <c r="BD104"/>
  <c r="AI104"/>
  <c r="AV104" s="1"/>
  <c r="AW104" s="1"/>
  <c r="AF104"/>
  <c r="AB104" s="1"/>
  <c r="AC104"/>
  <c r="W104"/>
  <c r="V104" s="1"/>
  <c r="R104"/>
  <c r="U104" s="1"/>
  <c r="F104"/>
  <c r="O104" s="1"/>
  <c r="BJ103"/>
  <c r="BI103" s="1"/>
  <c r="BE103"/>
  <c r="BD103"/>
  <c r="BC103" s="1"/>
  <c r="AI103"/>
  <c r="AF103"/>
  <c r="AC103"/>
  <c r="W103"/>
  <c r="V103" s="1"/>
  <c r="R103"/>
  <c r="U103" s="1"/>
  <c r="F103"/>
  <c r="O103" s="1"/>
  <c r="BJ102"/>
  <c r="BI102"/>
  <c r="BE102"/>
  <c r="BD102"/>
  <c r="AW102"/>
  <c r="AI102"/>
  <c r="AV102" s="1"/>
  <c r="AF102"/>
  <c r="AC102"/>
  <c r="W102"/>
  <c r="V102" s="1"/>
  <c r="R102"/>
  <c r="U102" s="1"/>
  <c r="F102"/>
  <c r="O102" s="1"/>
  <c r="BZ101"/>
  <c r="BJ101"/>
  <c r="BI101" s="1"/>
  <c r="BE101"/>
  <c r="BD101"/>
  <c r="AX101"/>
  <c r="AI101"/>
  <c r="AV101" s="1"/>
  <c r="AW101" s="1"/>
  <c r="AF101"/>
  <c r="AC101"/>
  <c r="AB101"/>
  <c r="W101"/>
  <c r="V101" s="1"/>
  <c r="R101"/>
  <c r="U101" s="1"/>
  <c r="F101"/>
  <c r="O101" s="1"/>
  <c r="BJ100"/>
  <c r="BI100" s="1"/>
  <c r="BE100"/>
  <c r="AF100"/>
  <c r="AC100"/>
  <c r="AB100" s="1"/>
  <c r="W100"/>
  <c r="V100" s="1"/>
  <c r="R100"/>
  <c r="U100" s="1"/>
  <c r="I100"/>
  <c r="BJ99"/>
  <c r="BI99" s="1"/>
  <c r="BE99"/>
  <c r="BD99"/>
  <c r="BC99"/>
  <c r="AV99"/>
  <c r="AW99" s="1"/>
  <c r="AI99"/>
  <c r="AF99"/>
  <c r="AC99"/>
  <c r="AB99" s="1"/>
  <c r="W99"/>
  <c r="V99" s="1"/>
  <c r="R99"/>
  <c r="U99" s="1"/>
  <c r="O99"/>
  <c r="F99"/>
  <c r="BJ98"/>
  <c r="BI98" s="1"/>
  <c r="BE98"/>
  <c r="BD98"/>
  <c r="BC98" s="1"/>
  <c r="AI98"/>
  <c r="AS98" s="1"/>
  <c r="AF98"/>
  <c r="AC98"/>
  <c r="W98"/>
  <c r="V98"/>
  <c r="U98"/>
  <c r="R98"/>
  <c r="F98"/>
  <c r="O98" s="1"/>
  <c r="BJ97"/>
  <c r="BI97" s="1"/>
  <c r="BE97"/>
  <c r="BD97"/>
  <c r="BC97"/>
  <c r="AI97"/>
  <c r="AF97"/>
  <c r="AC97"/>
  <c r="W97"/>
  <c r="V97"/>
  <c r="U97"/>
  <c r="AP97" s="1"/>
  <c r="AQ97" s="1"/>
  <c r="R97"/>
  <c r="F97"/>
  <c r="O97" s="1"/>
  <c r="BX96"/>
  <c r="BJ96"/>
  <c r="BI96" s="1"/>
  <c r="BE96"/>
  <c r="BD96"/>
  <c r="BC96" s="1"/>
  <c r="AF96"/>
  <c r="AC96"/>
  <c r="AB96" s="1"/>
  <c r="W96"/>
  <c r="V96" s="1"/>
  <c r="R96"/>
  <c r="U96" s="1"/>
  <c r="I96"/>
  <c r="AI96" s="1"/>
  <c r="F96"/>
  <c r="O96" s="1"/>
  <c r="BJ95"/>
  <c r="BI95" s="1"/>
  <c r="BE95"/>
  <c r="BD95"/>
  <c r="AI95"/>
  <c r="AV95" s="1"/>
  <c r="AW95" s="1"/>
  <c r="AF95"/>
  <c r="AB95" s="1"/>
  <c r="AC95"/>
  <c r="W95"/>
  <c r="V95" s="1"/>
  <c r="R95"/>
  <c r="U95" s="1"/>
  <c r="F95"/>
  <c r="O95" s="1"/>
  <c r="BJ94"/>
  <c r="BI94"/>
  <c r="BE94"/>
  <c r="BD94"/>
  <c r="AI94"/>
  <c r="AF94"/>
  <c r="AC94"/>
  <c r="W94"/>
  <c r="V94" s="1"/>
  <c r="R94"/>
  <c r="U94" s="1"/>
  <c r="F94"/>
  <c r="O94" s="1"/>
  <c r="BJ93"/>
  <c r="BI93" s="1"/>
  <c r="BE93"/>
  <c r="BD93"/>
  <c r="AI93"/>
  <c r="AG93"/>
  <c r="AC93"/>
  <c r="AB93" s="1"/>
  <c r="W93"/>
  <c r="V93"/>
  <c r="U93"/>
  <c r="R93"/>
  <c r="F93"/>
  <c r="O93" s="1"/>
  <c r="BJ92"/>
  <c r="BI92" s="1"/>
  <c r="BE92"/>
  <c r="BD92"/>
  <c r="BC92" s="1"/>
  <c r="AC92"/>
  <c r="AB92" s="1"/>
  <c r="W92"/>
  <c r="V92" s="1"/>
  <c r="R92"/>
  <c r="O92"/>
  <c r="F92"/>
  <c r="BX91"/>
  <c r="BW91"/>
  <c r="BJ91"/>
  <c r="BI91" s="1"/>
  <c r="BE91"/>
  <c r="BD91"/>
  <c r="AX91"/>
  <c r="AI91"/>
  <c r="AV91" s="1"/>
  <c r="AW91" s="1"/>
  <c r="AF91"/>
  <c r="AC91"/>
  <c r="AB91"/>
  <c r="W91"/>
  <c r="V91" s="1"/>
  <c r="R91"/>
  <c r="U91" s="1"/>
  <c r="F91"/>
  <c r="O91" s="1"/>
  <c r="BJ90"/>
  <c r="BI90" s="1"/>
  <c r="BE90"/>
  <c r="BD90"/>
  <c r="AT90"/>
  <c r="AU90" s="1"/>
  <c r="AI90"/>
  <c r="AV90" s="1"/>
  <c r="AW90" s="1"/>
  <c r="AF90"/>
  <c r="AC90"/>
  <c r="AB90"/>
  <c r="W90"/>
  <c r="V90" s="1"/>
  <c r="R90"/>
  <c r="U90" s="1"/>
  <c r="F90"/>
  <c r="O90" s="1"/>
  <c r="BZ89"/>
  <c r="BW89"/>
  <c r="BJ89"/>
  <c r="BE89"/>
  <c r="BD89"/>
  <c r="BC89" s="1"/>
  <c r="AI89"/>
  <c r="AF89"/>
  <c r="AC89"/>
  <c r="W89"/>
  <c r="V89"/>
  <c r="U89"/>
  <c r="AX89" s="1"/>
  <c r="R89"/>
  <c r="F89"/>
  <c r="O89" s="1"/>
  <c r="BJ88"/>
  <c r="BI88" s="1"/>
  <c r="BE88"/>
  <c r="BD88"/>
  <c r="AV88"/>
  <c r="AW88" s="1"/>
  <c r="AI88"/>
  <c r="AF88"/>
  <c r="AC88"/>
  <c r="W88"/>
  <c r="V88" s="1"/>
  <c r="R88"/>
  <c r="U88" s="1"/>
  <c r="O88"/>
  <c r="F88"/>
  <c r="BW87"/>
  <c r="BJ87"/>
  <c r="BE87"/>
  <c r="BD87"/>
  <c r="AZ87"/>
  <c r="AZ160" s="1"/>
  <c r="AZ164" s="1"/>
  <c r="AW87"/>
  <c r="AI87"/>
  <c r="AV87" s="1"/>
  <c r="AF87"/>
  <c r="AC87"/>
  <c r="AB87" s="1"/>
  <c r="W87"/>
  <c r="V87" s="1"/>
  <c r="R87"/>
  <c r="U87" s="1"/>
  <c r="O87"/>
  <c r="F87"/>
  <c r="BZ86"/>
  <c r="BJ86"/>
  <c r="BI86" s="1"/>
  <c r="BE86"/>
  <c r="BD86"/>
  <c r="AI86"/>
  <c r="AF86"/>
  <c r="AC86"/>
  <c r="W86"/>
  <c r="V86"/>
  <c r="U86"/>
  <c r="AP86" s="1"/>
  <c r="AQ86" s="1"/>
  <c r="R86"/>
  <c r="F86"/>
  <c r="O86" s="1"/>
  <c r="BJ85"/>
  <c r="BI85" s="1"/>
  <c r="BE85"/>
  <c r="BD85"/>
  <c r="BC85"/>
  <c r="AV85"/>
  <c r="AW85" s="1"/>
  <c r="AI85"/>
  <c r="AF85"/>
  <c r="AC85"/>
  <c r="W85"/>
  <c r="V85"/>
  <c r="U85"/>
  <c r="AM85" s="1"/>
  <c r="R85"/>
  <c r="F85"/>
  <c r="O85" s="1"/>
  <c r="BJ84"/>
  <c r="BI84" s="1"/>
  <c r="BE84"/>
  <c r="BD84"/>
  <c r="BC84" s="1"/>
  <c r="AV84"/>
  <c r="AW84" s="1"/>
  <c r="AI84"/>
  <c r="AF84"/>
  <c r="AC84"/>
  <c r="AB84" s="1"/>
  <c r="W84"/>
  <c r="V84" s="1"/>
  <c r="U84"/>
  <c r="R84"/>
  <c r="F84"/>
  <c r="O84" s="1"/>
  <c r="BJ83"/>
  <c r="BI83" s="1"/>
  <c r="BF83"/>
  <c r="BF160" s="1"/>
  <c r="BF164" s="1"/>
  <c r="BD83"/>
  <c r="AV83"/>
  <c r="AW83" s="1"/>
  <c r="AI83"/>
  <c r="AG83"/>
  <c r="AF83" s="1"/>
  <c r="AC83"/>
  <c r="W83"/>
  <c r="U83"/>
  <c r="R83"/>
  <c r="F83"/>
  <c r="O83" s="1"/>
  <c r="BJ82"/>
  <c r="BI82" s="1"/>
  <c r="BE82"/>
  <c r="BD82"/>
  <c r="AW82"/>
  <c r="AI82"/>
  <c r="AV82" s="1"/>
  <c r="AF82"/>
  <c r="AC82"/>
  <c r="AB82" s="1"/>
  <c r="W82"/>
  <c r="AS82" s="1"/>
  <c r="U82"/>
  <c r="R82"/>
  <c r="F82"/>
  <c r="O82" s="1"/>
  <c r="BJ81"/>
  <c r="BI81" s="1"/>
  <c r="BE81"/>
  <c r="BD81"/>
  <c r="AW81"/>
  <c r="AI81"/>
  <c r="AV81" s="1"/>
  <c r="AF81"/>
  <c r="AC81"/>
  <c r="AB81" s="1"/>
  <c r="W81"/>
  <c r="AS81" s="1"/>
  <c r="U81"/>
  <c r="R81"/>
  <c r="F81"/>
  <c r="O81" s="1"/>
  <c r="BJ80"/>
  <c r="BI80" s="1"/>
  <c r="BE80"/>
  <c r="BD80"/>
  <c r="AW80"/>
  <c r="AI80"/>
  <c r="AV80" s="1"/>
  <c r="AF80"/>
  <c r="AC80"/>
  <c r="AB80" s="1"/>
  <c r="W80"/>
  <c r="AS80" s="1"/>
  <c r="U80"/>
  <c r="R80"/>
  <c r="F80"/>
  <c r="O80" s="1"/>
  <c r="BJ79"/>
  <c r="BI79" s="1"/>
  <c r="BE79"/>
  <c r="BD79"/>
  <c r="AW79"/>
  <c r="AI79"/>
  <c r="AV79" s="1"/>
  <c r="AF79"/>
  <c r="AC79"/>
  <c r="AB79" s="1"/>
  <c r="W79"/>
  <c r="AS79" s="1"/>
  <c r="U79"/>
  <c r="R79"/>
  <c r="F79"/>
  <c r="O79" s="1"/>
  <c r="BJ78"/>
  <c r="BI78" s="1"/>
  <c r="BE78"/>
  <c r="AF78"/>
  <c r="AC78"/>
  <c r="AB78" s="1"/>
  <c r="W78"/>
  <c r="R78"/>
  <c r="U78" s="1"/>
  <c r="N78"/>
  <c r="I78"/>
  <c r="BJ77"/>
  <c r="BI77" s="1"/>
  <c r="BE77"/>
  <c r="AF77"/>
  <c r="AC77"/>
  <c r="W77"/>
  <c r="V77" s="1"/>
  <c r="R77"/>
  <c r="U77" s="1"/>
  <c r="AP77" s="1"/>
  <c r="AQ77" s="1"/>
  <c r="N77"/>
  <c r="I77"/>
  <c r="AI77" s="1"/>
  <c r="BJ76"/>
  <c r="BI76" s="1"/>
  <c r="BE76"/>
  <c r="BD76"/>
  <c r="AI76"/>
  <c r="AV76" s="1"/>
  <c r="AW76" s="1"/>
  <c r="AF76"/>
  <c r="AC76"/>
  <c r="AB76" s="1"/>
  <c r="W76"/>
  <c r="R76"/>
  <c r="U76" s="1"/>
  <c r="AP76" s="1"/>
  <c r="AQ76" s="1"/>
  <c r="N76"/>
  <c r="F76"/>
  <c r="BJ75"/>
  <c r="BI75"/>
  <c r="BE75"/>
  <c r="BD75"/>
  <c r="AI75"/>
  <c r="AV75" s="1"/>
  <c r="AW75" s="1"/>
  <c r="AF75"/>
  <c r="AC75"/>
  <c r="AB75" s="1"/>
  <c r="W75"/>
  <c r="V75" s="1"/>
  <c r="R75"/>
  <c r="U75" s="1"/>
  <c r="AX75" s="1"/>
  <c r="F75"/>
  <c r="O75" s="1"/>
  <c r="BJ74"/>
  <c r="BI74"/>
  <c r="BE74"/>
  <c r="BD74"/>
  <c r="AI74"/>
  <c r="AV74" s="1"/>
  <c r="AW74" s="1"/>
  <c r="AF74"/>
  <c r="AC74"/>
  <c r="AB74" s="1"/>
  <c r="W74"/>
  <c r="V74" s="1"/>
  <c r="R74"/>
  <c r="U74" s="1"/>
  <c r="AJ74" s="1"/>
  <c r="AK74" s="1"/>
  <c r="N74"/>
  <c r="F74"/>
  <c r="BJ73"/>
  <c r="BI73" s="1"/>
  <c r="BE73"/>
  <c r="BD73"/>
  <c r="BC73" s="1"/>
  <c r="AI73"/>
  <c r="AF73"/>
  <c r="AC73"/>
  <c r="W73"/>
  <c r="V73" s="1"/>
  <c r="U73"/>
  <c r="AP73" s="1"/>
  <c r="AQ73" s="1"/>
  <c r="R73"/>
  <c r="F73"/>
  <c r="O73" s="1"/>
  <c r="BJ72"/>
  <c r="BI72" s="1"/>
  <c r="BE72"/>
  <c r="BC72" s="1"/>
  <c r="BD72"/>
  <c r="AI72"/>
  <c r="AF72"/>
  <c r="AC72"/>
  <c r="AB72" s="1"/>
  <c r="W72"/>
  <c r="V72" s="1"/>
  <c r="U72"/>
  <c r="R72"/>
  <c r="N72"/>
  <c r="F72"/>
  <c r="O72" s="1"/>
  <c r="BJ71"/>
  <c r="BI71" s="1"/>
  <c r="BE71"/>
  <c r="BD71"/>
  <c r="BC71" s="1"/>
  <c r="AF71"/>
  <c r="AC71"/>
  <c r="U71"/>
  <c r="R71"/>
  <c r="I71"/>
  <c r="AI71" s="1"/>
  <c r="G71"/>
  <c r="W71" s="1"/>
  <c r="F71"/>
  <c r="O71" s="1"/>
  <c r="BJ70"/>
  <c r="BI70" s="1"/>
  <c r="BE70"/>
  <c r="AF70"/>
  <c r="AC70"/>
  <c r="AB70" s="1"/>
  <c r="W70"/>
  <c r="V70" s="1"/>
  <c r="R70"/>
  <c r="U70" s="1"/>
  <c r="N70"/>
  <c r="I70"/>
  <c r="BD70" s="1"/>
  <c r="BJ69"/>
  <c r="BI69" s="1"/>
  <c r="BE69"/>
  <c r="BD69"/>
  <c r="AI69"/>
  <c r="AS69" s="1"/>
  <c r="AF69"/>
  <c r="AC69"/>
  <c r="W69"/>
  <c r="V69"/>
  <c r="U69"/>
  <c r="AM69" s="1"/>
  <c r="R69"/>
  <c r="N69"/>
  <c r="F69"/>
  <c r="O69" s="1"/>
  <c r="BJ68"/>
  <c r="BI68" s="1"/>
  <c r="BE68"/>
  <c r="BD68"/>
  <c r="BC68" s="1"/>
  <c r="AI68"/>
  <c r="AV68" s="1"/>
  <c r="AW68" s="1"/>
  <c r="AF68"/>
  <c r="AC68"/>
  <c r="AB68" s="1"/>
  <c r="W68"/>
  <c r="R68"/>
  <c r="U68" s="1"/>
  <c r="N68"/>
  <c r="F68"/>
  <c r="BJ67"/>
  <c r="BI67"/>
  <c r="BE67"/>
  <c r="AF67"/>
  <c r="AB67" s="1"/>
  <c r="AC67"/>
  <c r="W67"/>
  <c r="V67" s="1"/>
  <c r="R67"/>
  <c r="U67" s="1"/>
  <c r="N67"/>
  <c r="I67"/>
  <c r="BD67" s="1"/>
  <c r="BJ66"/>
  <c r="BI66" s="1"/>
  <c r="BE66"/>
  <c r="BD66"/>
  <c r="AI66"/>
  <c r="AV66" s="1"/>
  <c r="AW66" s="1"/>
  <c r="AF66"/>
  <c r="AC66"/>
  <c r="AB66" s="1"/>
  <c r="W66"/>
  <c r="V66" s="1"/>
  <c r="R66"/>
  <c r="U66" s="1"/>
  <c r="O66"/>
  <c r="F66"/>
  <c r="BJ65"/>
  <c r="BI65" s="1"/>
  <c r="BE65"/>
  <c r="BD65"/>
  <c r="BC65" s="1"/>
  <c r="AF65"/>
  <c r="AC65"/>
  <c r="W65"/>
  <c r="V65"/>
  <c r="U65"/>
  <c r="R65"/>
  <c r="I65"/>
  <c r="AI65" s="1"/>
  <c r="BP64"/>
  <c r="BP160" s="1"/>
  <c r="BP164" s="1"/>
  <c r="BJ64"/>
  <c r="BI64" s="1"/>
  <c r="BE64"/>
  <c r="BD64"/>
  <c r="BC64" s="1"/>
  <c r="AI64"/>
  <c r="AV64" s="1"/>
  <c r="AW64" s="1"/>
  <c r="AF64"/>
  <c r="AC64"/>
  <c r="AB64"/>
  <c r="W64"/>
  <c r="V64" s="1"/>
  <c r="R64"/>
  <c r="U64" s="1"/>
  <c r="F64"/>
  <c r="O64" s="1"/>
  <c r="BJ63"/>
  <c r="BI63" s="1"/>
  <c r="BE63"/>
  <c r="BD63"/>
  <c r="BC63" s="1"/>
  <c r="AI63"/>
  <c r="AV63" s="1"/>
  <c r="AW63" s="1"/>
  <c r="AF63"/>
  <c r="AC63"/>
  <c r="AB63" s="1"/>
  <c r="W63"/>
  <c r="V63" s="1"/>
  <c r="R63"/>
  <c r="U63" s="1"/>
  <c r="AJ63" s="1"/>
  <c r="AK63" s="1"/>
  <c r="F63"/>
  <c r="O63" s="1"/>
  <c r="BJ62"/>
  <c r="BI62" s="1"/>
  <c r="BE62"/>
  <c r="BD62"/>
  <c r="BC62" s="1"/>
  <c r="AI62"/>
  <c r="AV62" s="1"/>
  <c r="AW62" s="1"/>
  <c r="AF62"/>
  <c r="AC62"/>
  <c r="AB62" s="1"/>
  <c r="W62"/>
  <c r="V62" s="1"/>
  <c r="R62"/>
  <c r="U62" s="1"/>
  <c r="F62"/>
  <c r="O62" s="1"/>
  <c r="BJ61"/>
  <c r="BI61" s="1"/>
  <c r="BE61"/>
  <c r="BD61"/>
  <c r="BC61" s="1"/>
  <c r="AI61"/>
  <c r="AV61" s="1"/>
  <c r="AW61" s="1"/>
  <c r="AF61"/>
  <c r="AC61"/>
  <c r="AB61" s="1"/>
  <c r="W61"/>
  <c r="V61" s="1"/>
  <c r="R61"/>
  <c r="U61" s="1"/>
  <c r="F61"/>
  <c r="O61" s="1"/>
  <c r="BJ60"/>
  <c r="BI60" s="1"/>
  <c r="BE60"/>
  <c r="BD60"/>
  <c r="BC60" s="1"/>
  <c r="AI60"/>
  <c r="AV60" s="1"/>
  <c r="AW60" s="1"/>
  <c r="AF60"/>
  <c r="AC60"/>
  <c r="AB60"/>
  <c r="W60"/>
  <c r="V60" s="1"/>
  <c r="R60"/>
  <c r="U60" s="1"/>
  <c r="F60"/>
  <c r="O60" s="1"/>
  <c r="BJ59"/>
  <c r="BI59" s="1"/>
  <c r="BE59"/>
  <c r="BD59"/>
  <c r="BC59" s="1"/>
  <c r="AI59"/>
  <c r="AV59" s="1"/>
  <c r="AW59" s="1"/>
  <c r="AF59"/>
  <c r="AC59"/>
  <c r="AB59" s="1"/>
  <c r="W59"/>
  <c r="V59" s="1"/>
  <c r="R59"/>
  <c r="U59" s="1"/>
  <c r="AJ59" s="1"/>
  <c r="AK59" s="1"/>
  <c r="F59"/>
  <c r="O59" s="1"/>
  <c r="BJ58"/>
  <c r="BI58" s="1"/>
  <c r="BE58"/>
  <c r="BD58"/>
  <c r="BC58" s="1"/>
  <c r="AI58"/>
  <c r="AV58" s="1"/>
  <c r="AW58" s="1"/>
  <c r="AF58"/>
  <c r="AC58"/>
  <c r="AB58" s="1"/>
  <c r="W58"/>
  <c r="V58" s="1"/>
  <c r="R58"/>
  <c r="U58" s="1"/>
  <c r="F58"/>
  <c r="O58" s="1"/>
  <c r="BJ57"/>
  <c r="BI57" s="1"/>
  <c r="BE57"/>
  <c r="AW57"/>
  <c r="AI57"/>
  <c r="AV57" s="1"/>
  <c r="AF57"/>
  <c r="AC57"/>
  <c r="AB57"/>
  <c r="R57"/>
  <c r="U57" s="1"/>
  <c r="J57"/>
  <c r="J160" s="1"/>
  <c r="J164" s="1"/>
  <c r="G57"/>
  <c r="BJ56"/>
  <c r="BI56" s="1"/>
  <c r="BE56"/>
  <c r="AM56"/>
  <c r="AG56"/>
  <c r="AF56" s="1"/>
  <c r="AC56"/>
  <c r="W56"/>
  <c r="V56"/>
  <c r="U56"/>
  <c r="R56"/>
  <c r="I56"/>
  <c r="AI56" s="1"/>
  <c r="AV56" s="1"/>
  <c r="AW56" s="1"/>
  <c r="F56"/>
  <c r="O56" s="1"/>
  <c r="BJ55"/>
  <c r="BI55" s="1"/>
  <c r="BE55"/>
  <c r="AI55"/>
  <c r="AV55" s="1"/>
  <c r="AW55" s="1"/>
  <c r="AF55"/>
  <c r="AC55"/>
  <c r="AB55"/>
  <c r="W55"/>
  <c r="V55" s="1"/>
  <c r="R55"/>
  <c r="U55" s="1"/>
  <c r="I55"/>
  <c r="BD55" s="1"/>
  <c r="F55"/>
  <c r="O55" s="1"/>
  <c r="BJ54"/>
  <c r="BI54" s="1"/>
  <c r="BE54"/>
  <c r="BD54"/>
  <c r="BC54"/>
  <c r="AI54"/>
  <c r="AF54"/>
  <c r="AC54"/>
  <c r="AB54" s="1"/>
  <c r="W54"/>
  <c r="V54" s="1"/>
  <c r="U54"/>
  <c r="AP54" s="1"/>
  <c r="AQ54" s="1"/>
  <c r="R54"/>
  <c r="F54"/>
  <c r="O54" s="1"/>
  <c r="BJ53"/>
  <c r="BI53" s="1"/>
  <c r="BE53"/>
  <c r="AF53"/>
  <c r="AC53"/>
  <c r="AB53" s="1"/>
  <c r="W53"/>
  <c r="V53" s="1"/>
  <c r="R53"/>
  <c r="U53" s="1"/>
  <c r="I53"/>
  <c r="BJ52"/>
  <c r="BI52" s="1"/>
  <c r="BE52"/>
  <c r="AF52"/>
  <c r="AC52"/>
  <c r="W52"/>
  <c r="V52" s="1"/>
  <c r="R52"/>
  <c r="U52" s="1"/>
  <c r="I52"/>
  <c r="AI52" s="1"/>
  <c r="BJ51"/>
  <c r="BI51" s="1"/>
  <c r="BE51"/>
  <c r="AF51"/>
  <c r="AC51"/>
  <c r="W51"/>
  <c r="V51"/>
  <c r="U51"/>
  <c r="R51"/>
  <c r="N51"/>
  <c r="I51"/>
  <c r="F51" s="1"/>
  <c r="O51" s="1"/>
  <c r="BJ50"/>
  <c r="BI50" s="1"/>
  <c r="BE50"/>
  <c r="BD50"/>
  <c r="AI50"/>
  <c r="AV50" s="1"/>
  <c r="AW50" s="1"/>
  <c r="AF50"/>
  <c r="AC50"/>
  <c r="AB50"/>
  <c r="W50"/>
  <c r="V50" s="1"/>
  <c r="U50"/>
  <c r="R50"/>
  <c r="F50"/>
  <c r="O50" s="1"/>
  <c r="BJ49"/>
  <c r="BI49" s="1"/>
  <c r="BE49"/>
  <c r="BD49"/>
  <c r="BC49"/>
  <c r="AW49"/>
  <c r="AI49"/>
  <c r="AV49" s="1"/>
  <c r="AF49"/>
  <c r="AC49"/>
  <c r="AB49"/>
  <c r="W49"/>
  <c r="V49" s="1"/>
  <c r="R49"/>
  <c r="U49" s="1"/>
  <c r="AM49" s="1"/>
  <c r="F49"/>
  <c r="O49" s="1"/>
  <c r="BJ48"/>
  <c r="BI48" s="1"/>
  <c r="BE48"/>
  <c r="BD48"/>
  <c r="AW48"/>
  <c r="AI48"/>
  <c r="AV48" s="1"/>
  <c r="AF48"/>
  <c r="AC48"/>
  <c r="AB48" s="1"/>
  <c r="W48"/>
  <c r="V48" s="1"/>
  <c r="U48"/>
  <c r="AM48" s="1"/>
  <c r="R48"/>
  <c r="F48"/>
  <c r="O48" s="1"/>
  <c r="BJ47"/>
  <c r="BI47" s="1"/>
  <c r="BE47"/>
  <c r="BD47"/>
  <c r="BC47" s="1"/>
  <c r="AI47"/>
  <c r="AV47" s="1"/>
  <c r="AW47" s="1"/>
  <c r="AF47"/>
  <c r="AC47"/>
  <c r="AB47"/>
  <c r="W47"/>
  <c r="V47" s="1"/>
  <c r="U47"/>
  <c r="R47"/>
  <c r="F47"/>
  <c r="O47" s="1"/>
  <c r="BJ46"/>
  <c r="BI46" s="1"/>
  <c r="BE46"/>
  <c r="BC46" s="1"/>
  <c r="BD46"/>
  <c r="AW46"/>
  <c r="AI46"/>
  <c r="AV46" s="1"/>
  <c r="AF46"/>
  <c r="AC46"/>
  <c r="AB46" s="1"/>
  <c r="W46"/>
  <c r="V46" s="1"/>
  <c r="R46"/>
  <c r="U46" s="1"/>
  <c r="F46"/>
  <c r="O46" s="1"/>
  <c r="BJ45"/>
  <c r="BI45" s="1"/>
  <c r="BE45"/>
  <c r="BD45"/>
  <c r="BC45" s="1"/>
  <c r="AI45"/>
  <c r="AV45" s="1"/>
  <c r="AW45" s="1"/>
  <c r="AF45"/>
  <c r="AC45"/>
  <c r="AB45" s="1"/>
  <c r="W45"/>
  <c r="V45" s="1"/>
  <c r="U45"/>
  <c r="AM45" s="1"/>
  <c r="R45"/>
  <c r="F45"/>
  <c r="O45" s="1"/>
  <c r="BJ44"/>
  <c r="BI44" s="1"/>
  <c r="BE44"/>
  <c r="BC44" s="1"/>
  <c r="BD44"/>
  <c r="AI44"/>
  <c r="AV44" s="1"/>
  <c r="AW44" s="1"/>
  <c r="AF44"/>
  <c r="AC44"/>
  <c r="AB44"/>
  <c r="W44"/>
  <c r="V44" s="1"/>
  <c r="R44"/>
  <c r="U44" s="1"/>
  <c r="F44"/>
  <c r="O44" s="1"/>
  <c r="BJ43"/>
  <c r="BI43" s="1"/>
  <c r="BE43"/>
  <c r="BD43"/>
  <c r="BC43"/>
  <c r="AW43"/>
  <c r="AI43"/>
  <c r="AV43" s="1"/>
  <c r="AF43"/>
  <c r="AC43"/>
  <c r="AB43" s="1"/>
  <c r="W43"/>
  <c r="V43" s="1"/>
  <c r="R43"/>
  <c r="U43" s="1"/>
  <c r="AM43" s="1"/>
  <c r="F43"/>
  <c r="O43" s="1"/>
  <c r="BJ42"/>
  <c r="BI42" s="1"/>
  <c r="BE42"/>
  <c r="BD42"/>
  <c r="AW42"/>
  <c r="AI42"/>
  <c r="AV42" s="1"/>
  <c r="AG42"/>
  <c r="AF42"/>
  <c r="AC42"/>
  <c r="W42"/>
  <c r="V42"/>
  <c r="U42"/>
  <c r="R42"/>
  <c r="F42"/>
  <c r="O42" s="1"/>
  <c r="BJ41"/>
  <c r="BI41" s="1"/>
  <c r="BE41"/>
  <c r="BD41"/>
  <c r="BC41" s="1"/>
  <c r="AI41"/>
  <c r="AV41" s="1"/>
  <c r="AW41" s="1"/>
  <c r="AF41"/>
  <c r="AC41"/>
  <c r="AB41"/>
  <c r="W41"/>
  <c r="V41" s="1"/>
  <c r="R41"/>
  <c r="U41" s="1"/>
  <c r="F41"/>
  <c r="O41" s="1"/>
  <c r="BJ40"/>
  <c r="BI40" s="1"/>
  <c r="BG40"/>
  <c r="BE40"/>
  <c r="BC40" s="1"/>
  <c r="BD40"/>
  <c r="AI40"/>
  <c r="AF40"/>
  <c r="AC40"/>
  <c r="AB40" s="1"/>
  <c r="W40"/>
  <c r="V40" s="1"/>
  <c r="R40"/>
  <c r="U40" s="1"/>
  <c r="O40"/>
  <c r="F40"/>
  <c r="BJ39"/>
  <c r="BI39" s="1"/>
  <c r="BE39"/>
  <c r="BD39"/>
  <c r="BC39" s="1"/>
  <c r="AI39"/>
  <c r="AV39" s="1"/>
  <c r="AW39" s="1"/>
  <c r="AF39"/>
  <c r="AC39"/>
  <c r="AB39" s="1"/>
  <c r="W39"/>
  <c r="R39"/>
  <c r="U39" s="1"/>
  <c r="AM39" s="1"/>
  <c r="O39"/>
  <c r="F39"/>
  <c r="BJ38"/>
  <c r="BI38" s="1"/>
  <c r="BE38"/>
  <c r="BD38"/>
  <c r="AI38"/>
  <c r="AF38"/>
  <c r="AC38"/>
  <c r="AB38" s="1"/>
  <c r="W38"/>
  <c r="V38" s="1"/>
  <c r="R38"/>
  <c r="U38" s="1"/>
  <c r="O38"/>
  <c r="F38"/>
  <c r="BJ37"/>
  <c r="BI37" s="1"/>
  <c r="BE37"/>
  <c r="BD37"/>
  <c r="BC37" s="1"/>
  <c r="AI37"/>
  <c r="AV37" s="1"/>
  <c r="AW37" s="1"/>
  <c r="AF37"/>
  <c r="AC37"/>
  <c r="W37"/>
  <c r="U37"/>
  <c r="AM37" s="1"/>
  <c r="R37"/>
  <c r="F37"/>
  <c r="O37" s="1"/>
  <c r="BJ36"/>
  <c r="BI36" s="1"/>
  <c r="BE36"/>
  <c r="BD36"/>
  <c r="AI36"/>
  <c r="AF36"/>
  <c r="AC36"/>
  <c r="W36"/>
  <c r="V36"/>
  <c r="U36"/>
  <c r="R36"/>
  <c r="F36"/>
  <c r="O36" s="1"/>
  <c r="BJ35"/>
  <c r="BI35" s="1"/>
  <c r="BE35"/>
  <c r="BD35"/>
  <c r="BC35"/>
  <c r="AI35"/>
  <c r="AV35" s="1"/>
  <c r="AW35" s="1"/>
  <c r="AF35"/>
  <c r="AC35"/>
  <c r="AB35" s="1"/>
  <c r="W35"/>
  <c r="R35"/>
  <c r="U35" s="1"/>
  <c r="O35"/>
  <c r="F35"/>
  <c r="BJ34"/>
  <c r="BI34" s="1"/>
  <c r="BE34"/>
  <c r="BD34"/>
  <c r="BC34" s="1"/>
  <c r="AI34"/>
  <c r="AF34"/>
  <c r="AC34"/>
  <c r="W34"/>
  <c r="V34" s="1"/>
  <c r="R34"/>
  <c r="U34" s="1"/>
  <c r="O34"/>
  <c r="F34"/>
  <c r="BJ33"/>
  <c r="BI33" s="1"/>
  <c r="BE33"/>
  <c r="BD33"/>
  <c r="BC33" s="1"/>
  <c r="AI33"/>
  <c r="AF33"/>
  <c r="AC33"/>
  <c r="AB33" s="1"/>
  <c r="W33"/>
  <c r="V33" s="1"/>
  <c r="T33"/>
  <c r="T160" s="1"/>
  <c r="T164" s="1"/>
  <c r="R33"/>
  <c r="U33" s="1"/>
  <c r="F33"/>
  <c r="O33" s="1"/>
  <c r="BJ32"/>
  <c r="BI32"/>
  <c r="BE32"/>
  <c r="BD32"/>
  <c r="AI32"/>
  <c r="AV32" s="1"/>
  <c r="AW32" s="1"/>
  <c r="AF32"/>
  <c r="AB32" s="1"/>
  <c r="W32"/>
  <c r="V32"/>
  <c r="R32"/>
  <c r="U32" s="1"/>
  <c r="F32"/>
  <c r="O32" s="1"/>
  <c r="BJ31"/>
  <c r="BI31" s="1"/>
  <c r="BE31"/>
  <c r="BC31" s="1"/>
  <c r="BD31"/>
  <c r="AI31"/>
  <c r="AV31" s="1"/>
  <c r="AW31" s="1"/>
  <c r="AF31"/>
  <c r="AB31" s="1"/>
  <c r="W31"/>
  <c r="V31"/>
  <c r="R31"/>
  <c r="U31" s="1"/>
  <c r="F31"/>
  <c r="O31" s="1"/>
  <c r="BJ30"/>
  <c r="BI30" s="1"/>
  <c r="BE30"/>
  <c r="BD30"/>
  <c r="AI30"/>
  <c r="AV30" s="1"/>
  <c r="AW30" s="1"/>
  <c r="AF30"/>
  <c r="AB30" s="1"/>
  <c r="W30"/>
  <c r="V30" s="1"/>
  <c r="R30"/>
  <c r="U30" s="1"/>
  <c r="AN30" s="1"/>
  <c r="AO30" s="1"/>
  <c r="F30"/>
  <c r="O30" s="1"/>
  <c r="BJ29"/>
  <c r="BI29" s="1"/>
  <c r="BE29"/>
  <c r="BD29"/>
  <c r="AW29"/>
  <c r="AI29"/>
  <c r="AV29" s="1"/>
  <c r="AF29"/>
  <c r="AB29" s="1"/>
  <c r="AC29"/>
  <c r="W29"/>
  <c r="V29" s="1"/>
  <c r="U29"/>
  <c r="AX29" s="1"/>
  <c r="R29"/>
  <c r="F29"/>
  <c r="O29" s="1"/>
  <c r="BJ28"/>
  <c r="BI28" s="1"/>
  <c r="BE28"/>
  <c r="BD28"/>
  <c r="BC28"/>
  <c r="AW28"/>
  <c r="AI28"/>
  <c r="AV28" s="1"/>
  <c r="AF28"/>
  <c r="AC28"/>
  <c r="AB28" s="1"/>
  <c r="W28"/>
  <c r="V28" s="1"/>
  <c r="U28"/>
  <c r="R28"/>
  <c r="F28"/>
  <c r="O28" s="1"/>
  <c r="BJ27"/>
  <c r="BI27" s="1"/>
  <c r="BE27"/>
  <c r="BC27" s="1"/>
  <c r="BD27"/>
  <c r="AW27"/>
  <c r="AI27"/>
  <c r="AV27" s="1"/>
  <c r="AF27"/>
  <c r="AC27"/>
  <c r="AB27" s="1"/>
  <c r="W27"/>
  <c r="V27" s="1"/>
  <c r="R27"/>
  <c r="U27" s="1"/>
  <c r="F27"/>
  <c r="O27" s="1"/>
  <c r="BX26"/>
  <c r="BX160" s="1"/>
  <c r="BX164" s="1"/>
  <c r="BJ26"/>
  <c r="BI26" s="1"/>
  <c r="BG26"/>
  <c r="BE26"/>
  <c r="BD26"/>
  <c r="BC26" s="1"/>
  <c r="AI26"/>
  <c r="AF26"/>
  <c r="AC26"/>
  <c r="W26"/>
  <c r="V26"/>
  <c r="R26"/>
  <c r="U26" s="1"/>
  <c r="F26"/>
  <c r="O26" s="1"/>
  <c r="BJ25"/>
  <c r="BI25" s="1"/>
  <c r="BE25"/>
  <c r="BD25"/>
  <c r="BC25"/>
  <c r="AI25"/>
  <c r="AV25" s="1"/>
  <c r="AW25" s="1"/>
  <c r="AF25"/>
  <c r="AC25"/>
  <c r="W25"/>
  <c r="R25"/>
  <c r="U25" s="1"/>
  <c r="AM25" s="1"/>
  <c r="F25"/>
  <c r="O25" s="1"/>
  <c r="BJ24"/>
  <c r="BI24" s="1"/>
  <c r="BE24"/>
  <c r="BD24"/>
  <c r="AI24"/>
  <c r="AF24"/>
  <c r="AC24"/>
  <c r="W24"/>
  <c r="V24"/>
  <c r="R24"/>
  <c r="U24" s="1"/>
  <c r="F24"/>
  <c r="O24" s="1"/>
  <c r="BJ23"/>
  <c r="BI23" s="1"/>
  <c r="BE23"/>
  <c r="BC23" s="1"/>
  <c r="BD23"/>
  <c r="AI23"/>
  <c r="AV23" s="1"/>
  <c r="AW23" s="1"/>
  <c r="AF23"/>
  <c r="AC23"/>
  <c r="AB23" s="1"/>
  <c r="W23"/>
  <c r="AP23" s="1"/>
  <c r="AQ23" s="1"/>
  <c r="U23"/>
  <c r="R23"/>
  <c r="F23"/>
  <c r="O23" s="1"/>
  <c r="BJ22"/>
  <c r="BI22" s="1"/>
  <c r="BE22"/>
  <c r="BD22"/>
  <c r="BC22" s="1"/>
  <c r="AI22"/>
  <c r="AS22" s="1"/>
  <c r="AF22"/>
  <c r="AC22"/>
  <c r="W22"/>
  <c r="V22"/>
  <c r="U22"/>
  <c r="R22"/>
  <c r="F22"/>
  <c r="O22" s="1"/>
  <c r="BJ21"/>
  <c r="BI21" s="1"/>
  <c r="BG21"/>
  <c r="BE21"/>
  <c r="BD21"/>
  <c r="BC21" s="1"/>
  <c r="AI21"/>
  <c r="AV21" s="1"/>
  <c r="AW21" s="1"/>
  <c r="AF21"/>
  <c r="AB21" s="1"/>
  <c r="AC21"/>
  <c r="W21"/>
  <c r="V21"/>
  <c r="R21"/>
  <c r="U21" s="1"/>
  <c r="AP21" s="1"/>
  <c r="AQ21" s="1"/>
  <c r="F21"/>
  <c r="O21" s="1"/>
  <c r="BJ20"/>
  <c r="BI20"/>
  <c r="BE20"/>
  <c r="BD20"/>
  <c r="AI20"/>
  <c r="AV20" s="1"/>
  <c r="AW20" s="1"/>
  <c r="AF20"/>
  <c r="AC20"/>
  <c r="AB20" s="1"/>
  <c r="W20"/>
  <c r="R20"/>
  <c r="U20" s="1"/>
  <c r="AJ20" s="1"/>
  <c r="AK20" s="1"/>
  <c r="F20"/>
  <c r="O20" s="1"/>
  <c r="BJ19"/>
  <c r="BI19"/>
  <c r="BE19"/>
  <c r="BD19"/>
  <c r="AI19"/>
  <c r="AV19" s="1"/>
  <c r="AW19" s="1"/>
  <c r="AF19"/>
  <c r="AB19" s="1"/>
  <c r="AC19"/>
  <c r="W19"/>
  <c r="AN19" s="1"/>
  <c r="AO19" s="1"/>
  <c r="V19"/>
  <c r="R19"/>
  <c r="U19" s="1"/>
  <c r="F19"/>
  <c r="O19" s="1"/>
  <c r="BJ18"/>
  <c r="BI18"/>
  <c r="BE18"/>
  <c r="BD18"/>
  <c r="AI18"/>
  <c r="AV18" s="1"/>
  <c r="AW18" s="1"/>
  <c r="AF18"/>
  <c r="AC18"/>
  <c r="AB18"/>
  <c r="W18"/>
  <c r="AT18" s="1"/>
  <c r="AU18" s="1"/>
  <c r="R18"/>
  <c r="U18" s="1"/>
  <c r="F18"/>
  <c r="O18" s="1"/>
  <c r="BJ17"/>
  <c r="BI17"/>
  <c r="BE17"/>
  <c r="BD17"/>
  <c r="AI17"/>
  <c r="AV17" s="1"/>
  <c r="AW17" s="1"/>
  <c r="AF17"/>
  <c r="AC17"/>
  <c r="W17"/>
  <c r="V17" s="1"/>
  <c r="R17"/>
  <c r="U17" s="1"/>
  <c r="F17"/>
  <c r="O17" s="1"/>
  <c r="BJ16"/>
  <c r="BI16" s="1"/>
  <c r="BE16"/>
  <c r="BD16"/>
  <c r="AJ16"/>
  <c r="AK16" s="1"/>
  <c r="AI16"/>
  <c r="AV16" s="1"/>
  <c r="AW16" s="1"/>
  <c r="AF16"/>
  <c r="AC16"/>
  <c r="AB16"/>
  <c r="W16"/>
  <c r="AT16" s="1"/>
  <c r="AU16" s="1"/>
  <c r="R16"/>
  <c r="U16" s="1"/>
  <c r="F16"/>
  <c r="O16" s="1"/>
  <c r="BJ15"/>
  <c r="BI15" s="1"/>
  <c r="BE15"/>
  <c r="BD15"/>
  <c r="BC15" s="1"/>
  <c r="AT15"/>
  <c r="AU15" s="1"/>
  <c r="AI15"/>
  <c r="AV15" s="1"/>
  <c r="AW15" s="1"/>
  <c r="AF15"/>
  <c r="AC15"/>
  <c r="W15"/>
  <c r="V15" s="1"/>
  <c r="R15"/>
  <c r="U15" s="1"/>
  <c r="AP15" s="1"/>
  <c r="AQ15" s="1"/>
  <c r="F15"/>
  <c r="O15" s="1"/>
  <c r="BJ14"/>
  <c r="BI14" s="1"/>
  <c r="BE14"/>
  <c r="BD14"/>
  <c r="AI14"/>
  <c r="AV14" s="1"/>
  <c r="AW14" s="1"/>
  <c r="AF14"/>
  <c r="AC14"/>
  <c r="AB14" s="1"/>
  <c r="W14"/>
  <c r="R14"/>
  <c r="U14" s="1"/>
  <c r="AJ14" s="1"/>
  <c r="AK14" s="1"/>
  <c r="F14"/>
  <c r="O14" s="1"/>
  <c r="BJ13"/>
  <c r="BI13" s="1"/>
  <c r="BE13"/>
  <c r="BD13"/>
  <c r="BC13" s="1"/>
  <c r="AI13"/>
  <c r="AV13" s="1"/>
  <c r="AW13" s="1"/>
  <c r="AF13"/>
  <c r="AB13" s="1"/>
  <c r="AC13"/>
  <c r="W13"/>
  <c r="V13"/>
  <c r="R13"/>
  <c r="U13" s="1"/>
  <c r="AP13" s="1"/>
  <c r="AQ13" s="1"/>
  <c r="F13"/>
  <c r="O13" s="1"/>
  <c r="BJ12"/>
  <c r="BI12"/>
  <c r="BE12"/>
  <c r="BD12"/>
  <c r="AI12"/>
  <c r="AV12" s="1"/>
  <c r="AW12" s="1"/>
  <c r="AF12"/>
  <c r="AB12" s="1"/>
  <c r="W12"/>
  <c r="V12"/>
  <c r="U12"/>
  <c r="AP12" s="1"/>
  <c r="AQ12" s="1"/>
  <c r="R12"/>
  <c r="F12"/>
  <c r="O12" s="1"/>
  <c r="BJ11"/>
  <c r="BI11" s="1"/>
  <c r="BE11"/>
  <c r="BD11"/>
  <c r="BC11"/>
  <c r="AI11"/>
  <c r="AV11" s="1"/>
  <c r="AW11" s="1"/>
  <c r="AF11"/>
  <c r="AC11"/>
  <c r="AB11" s="1"/>
  <c r="W11"/>
  <c r="R11"/>
  <c r="U11" s="1"/>
  <c r="O11"/>
  <c r="F11"/>
  <c r="BJ10"/>
  <c r="BI10" s="1"/>
  <c r="BE10"/>
  <c r="BD10"/>
  <c r="AV10"/>
  <c r="AW10" s="1"/>
  <c r="AI10"/>
  <c r="AF10"/>
  <c r="AC10"/>
  <c r="W10"/>
  <c r="V10" s="1"/>
  <c r="R10"/>
  <c r="U10" s="1"/>
  <c r="O10"/>
  <c r="F10"/>
  <c r="BJ9"/>
  <c r="BI9" s="1"/>
  <c r="BG9"/>
  <c r="BG160" s="1"/>
  <c r="BG164" s="1"/>
  <c r="BE9"/>
  <c r="BD9"/>
  <c r="AI9"/>
  <c r="AF9"/>
  <c r="AC9"/>
  <c r="W9"/>
  <c r="V9" s="1"/>
  <c r="R9"/>
  <c r="U9" s="1"/>
  <c r="O9"/>
  <c r="F9"/>
  <c r="BJ8"/>
  <c r="BI8" s="1"/>
  <c r="BE8"/>
  <c r="BD8"/>
  <c r="BC8" s="1"/>
  <c r="AI8"/>
  <c r="AV8" s="1"/>
  <c r="AF8"/>
  <c r="AC8"/>
  <c r="W8"/>
  <c r="V8" s="1"/>
  <c r="U8"/>
  <c r="AP8" s="1"/>
  <c r="R8"/>
  <c r="F8"/>
  <c r="O8" s="1"/>
  <c r="D21" i="2"/>
  <c r="D20"/>
  <c r="D19"/>
  <c r="C19"/>
  <c r="D18"/>
  <c r="C18"/>
  <c r="I17"/>
  <c r="B17"/>
  <c r="G21" s="1"/>
  <c r="I16"/>
  <c r="I15"/>
  <c r="I14"/>
  <c r="D14"/>
  <c r="I13"/>
  <c r="G13"/>
  <c r="G20" s="1"/>
  <c r="D13"/>
  <c r="I12"/>
  <c r="D12"/>
  <c r="D11"/>
  <c r="G10"/>
  <c r="D10"/>
  <c r="D9"/>
  <c r="I8"/>
  <c r="D8"/>
  <c r="I7"/>
  <c r="D7"/>
  <c r="I6"/>
  <c r="D6"/>
  <c r="I5"/>
  <c r="D5"/>
  <c r="H4"/>
  <c r="I4" s="1"/>
  <c r="C4"/>
  <c r="B4"/>
  <c r="AM26" i="6" l="1"/>
  <c r="AT26"/>
  <c r="AU26" s="1"/>
  <c r="AP74"/>
  <c r="AQ74" s="1"/>
  <c r="AM74"/>
  <c r="AT74"/>
  <c r="AU74" s="1"/>
  <c r="AP96"/>
  <c r="AQ96" s="1"/>
  <c r="AM96"/>
  <c r="AP154"/>
  <c r="AQ154" s="1"/>
  <c r="AM154"/>
  <c r="AP157"/>
  <c r="AQ157" s="1"/>
  <c r="AM157"/>
  <c r="AM19"/>
  <c r="AS19"/>
  <c r="AP63"/>
  <c r="AQ63" s="1"/>
  <c r="AM63"/>
  <c r="AT63"/>
  <c r="AU63" s="1"/>
  <c r="AP155"/>
  <c r="AQ155" s="1"/>
  <c r="AM155"/>
  <c r="AJ65"/>
  <c r="AK65" s="1"/>
  <c r="AN42"/>
  <c r="AO42" s="1"/>
  <c r="AJ42"/>
  <c r="AK42" s="1"/>
  <c r="AX42"/>
  <c r="AP153"/>
  <c r="AQ153" s="1"/>
  <c r="AM153"/>
  <c r="AM15"/>
  <c r="AS15"/>
  <c r="AT99"/>
  <c r="AU99" s="1"/>
  <c r="AP99"/>
  <c r="AQ99" s="1"/>
  <c r="AP156"/>
  <c r="AQ156" s="1"/>
  <c r="AM156"/>
  <c r="Q114"/>
  <c r="P114" s="1"/>
  <c r="CB114" s="1"/>
  <c r="CF114" s="1"/>
  <c r="AS13"/>
  <c r="AS17"/>
  <c r="AS21"/>
  <c r="AM22"/>
  <c r="AJ28"/>
  <c r="AK28" s="1"/>
  <c r="AS28"/>
  <c r="BC30"/>
  <c r="AS34"/>
  <c r="AV34"/>
  <c r="AW34" s="1"/>
  <c r="AJ43"/>
  <c r="AK43" s="1"/>
  <c r="AX45"/>
  <c r="AJ50"/>
  <c r="AK50" s="1"/>
  <c r="AM59"/>
  <c r="AT69"/>
  <c r="AU69" s="1"/>
  <c r="AS95"/>
  <c r="BD96"/>
  <c r="BC96" s="1"/>
  <c r="AJ98"/>
  <c r="AK98" s="1"/>
  <c r="AX102"/>
  <c r="AJ103"/>
  <c r="AK103" s="1"/>
  <c r="Q106"/>
  <c r="P106" s="1"/>
  <c r="CB106" s="1"/>
  <c r="CF106" s="1"/>
  <c r="AM119"/>
  <c r="AS121"/>
  <c r="AS137"/>
  <c r="AB143"/>
  <c r="AS150"/>
  <c r="AM151"/>
  <c r="AN153"/>
  <c r="AO153" s="1"/>
  <c r="AN155"/>
  <c r="AO155" s="1"/>
  <c r="AN157"/>
  <c r="AO157" s="1"/>
  <c r="BI161"/>
  <c r="AS12"/>
  <c r="AM13"/>
  <c r="AM17"/>
  <c r="AM21"/>
  <c r="AV23"/>
  <c r="AW23" s="1"/>
  <c r="AX48"/>
  <c r="AJ70"/>
  <c r="AK70" s="1"/>
  <c r="AS96"/>
  <c r="AV96"/>
  <c r="AW96" s="1"/>
  <c r="AS98"/>
  <c r="AP137"/>
  <c r="AQ137" s="1"/>
  <c r="AN152"/>
  <c r="AO152" s="1"/>
  <c r="AS153"/>
  <c r="AS155"/>
  <c r="AS157"/>
  <c r="AS159"/>
  <c r="BC9"/>
  <c r="BC14"/>
  <c r="AB15"/>
  <c r="BC18"/>
  <c r="AB19"/>
  <c r="AP23"/>
  <c r="AQ23" s="1"/>
  <c r="AT25"/>
  <c r="AU25" s="1"/>
  <c r="AP29"/>
  <c r="AQ29" s="1"/>
  <c r="AB34"/>
  <c r="AT34"/>
  <c r="AU34" s="1"/>
  <c r="BC35"/>
  <c r="BC37"/>
  <c r="AS39"/>
  <c r="BC43"/>
  <c r="AX44"/>
  <c r="BC45"/>
  <c r="BC46"/>
  <c r="AX47"/>
  <c r="AB48"/>
  <c r="AB50"/>
  <c r="AP55"/>
  <c r="AQ55" s="1"/>
  <c r="AB58"/>
  <c r="AP60"/>
  <c r="AQ60" s="1"/>
  <c r="AM61"/>
  <c r="BC61"/>
  <c r="AB62"/>
  <c r="BC63"/>
  <c r="AB65"/>
  <c r="AT66"/>
  <c r="AU66" s="1"/>
  <c r="AB67"/>
  <c r="AB68"/>
  <c r="F70"/>
  <c r="O70" s="1"/>
  <c r="AX70"/>
  <c r="BD70"/>
  <c r="BC70" s="1"/>
  <c r="O72"/>
  <c r="AP72"/>
  <c r="AQ72" s="1"/>
  <c r="BC72"/>
  <c r="BC74"/>
  <c r="O76"/>
  <c r="AB76"/>
  <c r="BC84"/>
  <c r="AM87"/>
  <c r="BI87"/>
  <c r="AJ90"/>
  <c r="AK90" s="1"/>
  <c r="AS90"/>
  <c r="Q93"/>
  <c r="P93" s="1"/>
  <c r="CB93" s="1"/>
  <c r="CF93" s="1"/>
  <c r="BC94"/>
  <c r="AB95"/>
  <c r="AT98"/>
  <c r="AU98" s="1"/>
  <c r="BC103"/>
  <c r="AJ105"/>
  <c r="AK105" s="1"/>
  <c r="Q107"/>
  <c r="P107" s="1"/>
  <c r="CB107" s="1"/>
  <c r="CF107" s="1"/>
  <c r="Q108"/>
  <c r="AN110"/>
  <c r="AO110" s="1"/>
  <c r="AS110"/>
  <c r="AN111"/>
  <c r="AO111" s="1"/>
  <c r="AS111"/>
  <c r="AN112"/>
  <c r="AO112" s="1"/>
  <c r="AS112"/>
  <c r="Q113"/>
  <c r="P113" s="1"/>
  <c r="CB113" s="1"/>
  <c r="CF113" s="1"/>
  <c r="Q115"/>
  <c r="BC115"/>
  <c r="AB117"/>
  <c r="AB118"/>
  <c r="AP120"/>
  <c r="AQ120" s="1"/>
  <c r="AN121"/>
  <c r="AO121" s="1"/>
  <c r="AP123"/>
  <c r="AQ123" s="1"/>
  <c r="F130"/>
  <c r="AP130"/>
  <c r="AQ130" s="1"/>
  <c r="AV135"/>
  <c r="AW135" s="1"/>
  <c r="F139"/>
  <c r="O139" s="1"/>
  <c r="AB142"/>
  <c r="F145"/>
  <c r="O145" s="1"/>
  <c r="F146"/>
  <c r="O146" s="1"/>
  <c r="AB150"/>
  <c r="AV150"/>
  <c r="AW150" s="1"/>
  <c r="BC153"/>
  <c r="AN154"/>
  <c r="AO154" s="1"/>
  <c r="BC155"/>
  <c r="AN156"/>
  <c r="AO156" s="1"/>
  <c r="BC157"/>
  <c r="AS158"/>
  <c r="P163"/>
  <c r="CB163" s="1"/>
  <c r="CF163" s="1"/>
  <c r="AS9"/>
  <c r="AS14"/>
  <c r="AP15"/>
  <c r="AQ15" s="1"/>
  <c r="AS18"/>
  <c r="AP19"/>
  <c r="AQ19" s="1"/>
  <c r="AB22"/>
  <c r="AB23"/>
  <c r="AT23"/>
  <c r="AU23" s="1"/>
  <c r="BC24"/>
  <c r="AB25"/>
  <c r="BC25"/>
  <c r="AP27"/>
  <c r="AQ27" s="1"/>
  <c r="AT28"/>
  <c r="AU28" s="1"/>
  <c r="AX30"/>
  <c r="BC31"/>
  <c r="AB33"/>
  <c r="AM34"/>
  <c r="BC34"/>
  <c r="AB37"/>
  <c r="AV37"/>
  <c r="AW37" s="1"/>
  <c r="AS38"/>
  <c r="BC42"/>
  <c r="AX46"/>
  <c r="AX49"/>
  <c r="N160"/>
  <c r="N164" s="1"/>
  <c r="AM58"/>
  <c r="BC58"/>
  <c r="AB59"/>
  <c r="AX62"/>
  <c r="AS63"/>
  <c r="AV63"/>
  <c r="AW63" s="1"/>
  <c r="BI64"/>
  <c r="AT65"/>
  <c r="AU65" s="1"/>
  <c r="AI65"/>
  <c r="AV65" s="1"/>
  <c r="AW65" s="1"/>
  <c r="AN66"/>
  <c r="AO66" s="1"/>
  <c r="BD67"/>
  <c r="BC67" s="1"/>
  <c r="AB70"/>
  <c r="F71"/>
  <c r="O71" s="1"/>
  <c r="AI71"/>
  <c r="AV71" s="1"/>
  <c r="AW71" s="1"/>
  <c r="BC73"/>
  <c r="AS74"/>
  <c r="AV74"/>
  <c r="AW74" s="1"/>
  <c r="BC79"/>
  <c r="AB80"/>
  <c r="BC81"/>
  <c r="AB82"/>
  <c r="AP85"/>
  <c r="AQ85" s="1"/>
  <c r="BC85"/>
  <c r="BC88"/>
  <c r="AB89"/>
  <c r="AB90"/>
  <c r="BC92"/>
  <c r="P92" s="1"/>
  <c r="CB92" s="1"/>
  <c r="CF92" s="1"/>
  <c r="AS94"/>
  <c r="AS99"/>
  <c r="AJ101"/>
  <c r="AK101" s="1"/>
  <c r="BC102"/>
  <c r="BC104"/>
  <c r="BC105"/>
  <c r="BC108"/>
  <c r="BC117"/>
  <c r="BC118"/>
  <c r="AB119"/>
  <c r="AB121"/>
  <c r="AP121"/>
  <c r="AQ121" s="1"/>
  <c r="AJ122"/>
  <c r="AK122" s="1"/>
  <c r="F127"/>
  <c r="AI128"/>
  <c r="AV128" s="1"/>
  <c r="AW128" s="1"/>
  <c r="AB135"/>
  <c r="F137"/>
  <c r="O137" s="1"/>
  <c r="AV139"/>
  <c r="AW139" s="1"/>
  <c r="AB141"/>
  <c r="AI143"/>
  <c r="AV143" s="1"/>
  <c r="AW143" s="1"/>
  <c r="F144"/>
  <c r="O144" s="1"/>
  <c r="AB147"/>
  <c r="AS149"/>
  <c r="AV153"/>
  <c r="AW153" s="1"/>
  <c r="AS154"/>
  <c r="AV155"/>
  <c r="AW155" s="1"/>
  <c r="AS156"/>
  <c r="AV157"/>
  <c r="AW157" s="1"/>
  <c r="AS162"/>
  <c r="AP32" i="3"/>
  <c r="AQ32" s="1"/>
  <c r="AJ32"/>
  <c r="AK32" s="1"/>
  <c r="AP68"/>
  <c r="AQ68" s="1"/>
  <c r="AS68"/>
  <c r="AX88"/>
  <c r="AM88"/>
  <c r="AM11"/>
  <c r="AS11"/>
  <c r="AM35"/>
  <c r="AS35"/>
  <c r="AM44"/>
  <c r="AJ44"/>
  <c r="AK44" s="1"/>
  <c r="AP44"/>
  <c r="AQ44" s="1"/>
  <c r="AM46"/>
  <c r="AJ46"/>
  <c r="AK46" s="1"/>
  <c r="AP46"/>
  <c r="AQ46" s="1"/>
  <c r="AX87"/>
  <c r="AJ87"/>
  <c r="AK87" s="1"/>
  <c r="AP87"/>
  <c r="AQ87" s="1"/>
  <c r="AP125"/>
  <c r="AQ125" s="1"/>
  <c r="AX27"/>
  <c r="AJ27"/>
  <c r="AK27" s="1"/>
  <c r="AP27"/>
  <c r="AQ27" s="1"/>
  <c r="AX96"/>
  <c r="AM96"/>
  <c r="AX66"/>
  <c r="AM66"/>
  <c r="AS96"/>
  <c r="AV96"/>
  <c r="AW96" s="1"/>
  <c r="Q106"/>
  <c r="P106" s="1"/>
  <c r="CB106" s="1"/>
  <c r="CF106" s="1"/>
  <c r="Q114"/>
  <c r="AS128"/>
  <c r="AJ12"/>
  <c r="AK12" s="1"/>
  <c r="AB15"/>
  <c r="AT17"/>
  <c r="AU17" s="1"/>
  <c r="AJ18"/>
  <c r="AK18" s="1"/>
  <c r="AT20"/>
  <c r="AU20" s="1"/>
  <c r="AS23"/>
  <c r="AS36"/>
  <c r="AP37"/>
  <c r="AQ37" s="1"/>
  <c r="BC38"/>
  <c r="AS39"/>
  <c r="BC42"/>
  <c r="AJ50"/>
  <c r="AK50" s="1"/>
  <c r="BC50"/>
  <c r="BD51"/>
  <c r="AP56"/>
  <c r="AQ56" s="1"/>
  <c r="AX58"/>
  <c r="AJ61"/>
  <c r="AK61" s="1"/>
  <c r="AX62"/>
  <c r="AS65"/>
  <c r="BC67"/>
  <c r="AM71"/>
  <c r="V71"/>
  <c r="AS86"/>
  <c r="AV86"/>
  <c r="AW86" s="1"/>
  <c r="BZ160"/>
  <c r="BZ164" s="1"/>
  <c r="AS89"/>
  <c r="AB94"/>
  <c r="AS97"/>
  <c r="AV98"/>
  <c r="AW98" s="1"/>
  <c r="AJ110"/>
  <c r="AK110" s="1"/>
  <c r="Q116"/>
  <c r="AS119"/>
  <c r="AV120"/>
  <c r="AW120" s="1"/>
  <c r="BC121"/>
  <c r="AJ133"/>
  <c r="AK133" s="1"/>
  <c r="AB134"/>
  <c r="AS161"/>
  <c r="BI161"/>
  <c r="AN17"/>
  <c r="AO17" s="1"/>
  <c r="AP39"/>
  <c r="AQ39" s="1"/>
  <c r="AI51"/>
  <c r="AS51" s="1"/>
  <c r="AS52"/>
  <c r="AX59"/>
  <c r="AX63"/>
  <c r="AP72"/>
  <c r="AQ72" s="1"/>
  <c r="AS102"/>
  <c r="AS105"/>
  <c r="AG128"/>
  <c r="AS137"/>
  <c r="AB143"/>
  <c r="BC152"/>
  <c r="AS155"/>
  <c r="BC156"/>
  <c r="AS159"/>
  <c r="AB161"/>
  <c r="AM23"/>
  <c r="AS26"/>
  <c r="AB9"/>
  <c r="AP11"/>
  <c r="AQ11" s="1"/>
  <c r="AT13"/>
  <c r="AU13" s="1"/>
  <c r="AN15"/>
  <c r="AO15" s="1"/>
  <c r="AP19"/>
  <c r="AQ19" s="1"/>
  <c r="BC19"/>
  <c r="AT21"/>
  <c r="AU21" s="1"/>
  <c r="BC24"/>
  <c r="AB25"/>
  <c r="AS25"/>
  <c r="AM28"/>
  <c r="AP29"/>
  <c r="AQ29" s="1"/>
  <c r="BC30"/>
  <c r="AS34"/>
  <c r="AP35"/>
  <c r="AQ35" s="1"/>
  <c r="AS38"/>
  <c r="V39"/>
  <c r="AB42"/>
  <c r="AM47"/>
  <c r="AP48"/>
  <c r="AQ48" s="1"/>
  <c r="AM50"/>
  <c r="BD52"/>
  <c r="BC52" s="1"/>
  <c r="AT54"/>
  <c r="AU54" s="1"/>
  <c r="AT55"/>
  <c r="AU55" s="1"/>
  <c r="AJ58"/>
  <c r="AK58" s="1"/>
  <c r="AX61"/>
  <c r="AJ62"/>
  <c r="AK62" s="1"/>
  <c r="AS66"/>
  <c r="O68"/>
  <c r="AX69"/>
  <c r="BC69"/>
  <c r="BC74"/>
  <c r="BC75"/>
  <c r="O76"/>
  <c r="BC76"/>
  <c r="AB77"/>
  <c r="AB85"/>
  <c r="AT85"/>
  <c r="AU85" s="1"/>
  <c r="AB86"/>
  <c r="AT86"/>
  <c r="AU86" s="1"/>
  <c r="AS88"/>
  <c r="AB89"/>
  <c r="AV89"/>
  <c r="AW89" s="1"/>
  <c r="BC94"/>
  <c r="AB97"/>
  <c r="AV97"/>
  <c r="AW97" s="1"/>
  <c r="AP98"/>
  <c r="AQ98" s="1"/>
  <c r="BC108"/>
  <c r="P108" s="1"/>
  <c r="CB108" s="1"/>
  <c r="CF108" s="1"/>
  <c r="BC114"/>
  <c r="Q117"/>
  <c r="P117" s="1"/>
  <c r="CB117" s="1"/>
  <c r="CF117" s="1"/>
  <c r="AB118"/>
  <c r="AV119"/>
  <c r="AW119" s="1"/>
  <c r="AB122"/>
  <c r="AS123"/>
  <c r="AI124"/>
  <c r="AV124" s="1"/>
  <c r="AW124" s="1"/>
  <c r="F125"/>
  <c r="AV128"/>
  <c r="AW128" s="1"/>
  <c r="F129"/>
  <c r="AG131"/>
  <c r="F137"/>
  <c r="O137" s="1"/>
  <c r="AB138"/>
  <c r="AI142"/>
  <c r="AV142" s="1"/>
  <c r="AW142" s="1"/>
  <c r="AS152"/>
  <c r="BC153"/>
  <c r="CC164"/>
  <c r="BC9"/>
  <c r="AS10"/>
  <c r="AN13"/>
  <c r="AO13" s="1"/>
  <c r="AT14"/>
  <c r="AU14" s="1"/>
  <c r="AP17"/>
  <c r="AQ17" s="1"/>
  <c r="AB17"/>
  <c r="BC17"/>
  <c r="AT19"/>
  <c r="AU19" s="1"/>
  <c r="AN21"/>
  <c r="AO21" s="1"/>
  <c r="AS24"/>
  <c r="AP25"/>
  <c r="AQ25" s="1"/>
  <c r="AJ29"/>
  <c r="BC29"/>
  <c r="AV33"/>
  <c r="AW33" s="1"/>
  <c r="BC36"/>
  <c r="AB37"/>
  <c r="AS37"/>
  <c r="AS40"/>
  <c r="AJ48"/>
  <c r="AK48" s="1"/>
  <c r="BC48"/>
  <c r="AP50"/>
  <c r="AQ50" s="1"/>
  <c r="AB51"/>
  <c r="BC51"/>
  <c r="AJ54"/>
  <c r="AK54" s="1"/>
  <c r="BD56"/>
  <c r="BC56" s="1"/>
  <c r="AX64"/>
  <c r="AB65"/>
  <c r="BC66"/>
  <c r="AB69"/>
  <c r="AV69"/>
  <c r="AW69" s="1"/>
  <c r="BC70"/>
  <c r="AS71"/>
  <c r="AB73"/>
  <c r="AX74"/>
  <c r="AJ75"/>
  <c r="AK75" s="1"/>
  <c r="AM86"/>
  <c r="BC86"/>
  <c r="BC88"/>
  <c r="AM89"/>
  <c r="BI89"/>
  <c r="BC90"/>
  <c r="AJ91"/>
  <c r="AK91" s="1"/>
  <c r="BC91"/>
  <c r="Q92"/>
  <c r="P92" s="1"/>
  <c r="CB92" s="1"/>
  <c r="CF92" s="1"/>
  <c r="AB98"/>
  <c r="AS99"/>
  <c r="AJ101"/>
  <c r="AK101" s="1"/>
  <c r="BC101"/>
  <c r="AB102"/>
  <c r="AB103"/>
  <c r="AB105"/>
  <c r="AX112"/>
  <c r="BC118"/>
  <c r="AM119"/>
  <c r="AB120"/>
  <c r="AS131"/>
  <c r="AB136"/>
  <c r="AB137"/>
  <c r="AB144"/>
  <c r="O148"/>
  <c r="BC158"/>
  <c r="BC159"/>
  <c r="AB25" i="5"/>
  <c r="O68"/>
  <c r="AV129"/>
  <c r="AW129" s="1"/>
  <c r="AN157"/>
  <c r="AO157" s="1"/>
  <c r="BC9"/>
  <c r="BC79"/>
  <c r="BC92"/>
  <c r="AP101"/>
  <c r="AQ101" s="1"/>
  <c r="AN132"/>
  <c r="AO132" s="1"/>
  <c r="AP13"/>
  <c r="AQ13" s="1"/>
  <c r="AB24"/>
  <c r="AT26"/>
  <c r="AU26" s="1"/>
  <c r="BC32"/>
  <c r="AB52"/>
  <c r="AB54"/>
  <c r="BC59"/>
  <c r="BC77"/>
  <c r="F78"/>
  <c r="BD78"/>
  <c r="BC78" s="1"/>
  <c r="AB81"/>
  <c r="BC30"/>
  <c r="AT82"/>
  <c r="AU82" s="1"/>
  <c r="AB96"/>
  <c r="BC104"/>
  <c r="BC123"/>
  <c r="AN152"/>
  <c r="AO152" s="1"/>
  <c r="E6" i="9"/>
  <c r="B29" i="11"/>
  <c r="E5"/>
  <c r="E12" i="10"/>
  <c r="B29"/>
  <c r="B41" s="1"/>
  <c r="D29"/>
  <c r="D41" s="1"/>
  <c r="E41" s="1"/>
  <c r="E31" i="8"/>
  <c r="E29" i="10"/>
  <c r="J16" i="9"/>
  <c r="E5"/>
  <c r="E30" i="8"/>
  <c r="C11" i="7"/>
  <c r="E13"/>
  <c r="J51" s="1"/>
  <c r="I89"/>
  <c r="K89" s="1"/>
  <c r="I88"/>
  <c r="K88" s="1"/>
  <c r="K77"/>
  <c r="J74"/>
  <c r="K53"/>
  <c r="K74" s="1"/>
  <c r="K17"/>
  <c r="I11"/>
  <c r="K11" s="1"/>
  <c r="K7"/>
  <c r="B13"/>
  <c r="F13" s="1"/>
  <c r="I30"/>
  <c r="K30" s="1"/>
  <c r="K35"/>
  <c r="D52"/>
  <c r="D11" s="1"/>
  <c r="D91" s="1"/>
  <c r="AP15" i="5"/>
  <c r="AQ15" s="1"/>
  <c r="AJ38"/>
  <c r="AK38" s="1"/>
  <c r="AB40"/>
  <c r="AS43"/>
  <c r="AS47"/>
  <c r="AJ54"/>
  <c r="AK54" s="1"/>
  <c r="BC60"/>
  <c r="BC61"/>
  <c r="BP160"/>
  <c r="BP164" s="1"/>
  <c r="AB66"/>
  <c r="AB71"/>
  <c r="O72"/>
  <c r="AB72"/>
  <c r="BC75"/>
  <c r="BC76"/>
  <c r="AB85"/>
  <c r="BC88"/>
  <c r="AP89"/>
  <c r="AQ89" s="1"/>
  <c r="BC107"/>
  <c r="AB117"/>
  <c r="AB120"/>
  <c r="AB136"/>
  <c r="AB140"/>
  <c r="F141"/>
  <c r="O141" s="1"/>
  <c r="AB143"/>
  <c r="BC155"/>
  <c r="AP9"/>
  <c r="AQ9" s="1"/>
  <c r="AM19"/>
  <c r="BC34"/>
  <c r="AB36"/>
  <c r="AT37"/>
  <c r="AU37" s="1"/>
  <c r="BC44"/>
  <c r="BC48"/>
  <c r="BC51"/>
  <c r="BC55"/>
  <c r="AB56"/>
  <c r="AB64"/>
  <c r="O69"/>
  <c r="AB69"/>
  <c r="AB73"/>
  <c r="BC109"/>
  <c r="AM110"/>
  <c r="AB113"/>
  <c r="F124"/>
  <c r="O124" s="1"/>
  <c r="BI127"/>
  <c r="AJ136"/>
  <c r="AK136" s="1"/>
  <c r="AV138"/>
  <c r="AW138" s="1"/>
  <c r="BC150"/>
  <c r="BC154"/>
  <c r="AB158"/>
  <c r="BC159"/>
  <c r="BT164"/>
  <c r="AB161"/>
  <c r="AJ29"/>
  <c r="AK29" s="1"/>
  <c r="AJ34"/>
  <c r="AK34" s="1"/>
  <c r="BC35"/>
  <c r="BC63"/>
  <c r="AB95"/>
  <c r="BC101"/>
  <c r="AX104"/>
  <c r="BC105"/>
  <c r="BC108"/>
  <c r="AB115"/>
  <c r="BC118"/>
  <c r="AI140"/>
  <c r="AV140" s="1"/>
  <c r="AW140" s="1"/>
  <c r="AD164"/>
  <c r="O163"/>
  <c r="AX32" i="6"/>
  <c r="AT32"/>
  <c r="AU32" s="1"/>
  <c r="AJ32"/>
  <c r="AK32" s="1"/>
  <c r="AP32"/>
  <c r="AQ32" s="1"/>
  <c r="AS32"/>
  <c r="AM32"/>
  <c r="AN32"/>
  <c r="AO32" s="1"/>
  <c r="AN35"/>
  <c r="AO35" s="1"/>
  <c r="AT35"/>
  <c r="AU35" s="1"/>
  <c r="AM35"/>
  <c r="AP35"/>
  <c r="AQ35" s="1"/>
  <c r="AJ35"/>
  <c r="AK35" s="1"/>
  <c r="AX35"/>
  <c r="AN24"/>
  <c r="AO24" s="1"/>
  <c r="AT24"/>
  <c r="AU24" s="1"/>
  <c r="AM24"/>
  <c r="AP24"/>
  <c r="AQ24" s="1"/>
  <c r="AJ24"/>
  <c r="AK24" s="1"/>
  <c r="AX24"/>
  <c r="AN41"/>
  <c r="AO41" s="1"/>
  <c r="AM41"/>
  <c r="AP41"/>
  <c r="AQ41" s="1"/>
  <c r="AT41"/>
  <c r="AU41" s="1"/>
  <c r="AJ41"/>
  <c r="AK41" s="1"/>
  <c r="AX41"/>
  <c r="AN10"/>
  <c r="AO10" s="1"/>
  <c r="AT10"/>
  <c r="AU10" s="1"/>
  <c r="AM10"/>
  <c r="AP10"/>
  <c r="AQ10" s="1"/>
  <c r="AJ10"/>
  <c r="AK10" s="1"/>
  <c r="AX10"/>
  <c r="AX8"/>
  <c r="AT8"/>
  <c r="AJ8"/>
  <c r="AX13"/>
  <c r="AT13"/>
  <c r="AU13" s="1"/>
  <c r="AJ13"/>
  <c r="AK13" s="1"/>
  <c r="AX15"/>
  <c r="AT15"/>
  <c r="AU15" s="1"/>
  <c r="AJ15"/>
  <c r="AK15" s="1"/>
  <c r="AX17"/>
  <c r="AT17"/>
  <c r="AU17" s="1"/>
  <c r="AJ17"/>
  <c r="AK17" s="1"/>
  <c r="AX19"/>
  <c r="AT19"/>
  <c r="AU19" s="1"/>
  <c r="AJ19"/>
  <c r="AK19" s="1"/>
  <c r="AX21"/>
  <c r="AT21"/>
  <c r="AU21" s="1"/>
  <c r="AJ21"/>
  <c r="AK21" s="1"/>
  <c r="AX37"/>
  <c r="AT37"/>
  <c r="AU37" s="1"/>
  <c r="AJ37"/>
  <c r="AK37" s="1"/>
  <c r="AN37"/>
  <c r="AO37" s="1"/>
  <c r="AM44"/>
  <c r="AN44"/>
  <c r="AO44" s="1"/>
  <c r="AP44"/>
  <c r="AQ44" s="1"/>
  <c r="AM48"/>
  <c r="AN48"/>
  <c r="AO48" s="1"/>
  <c r="AP48"/>
  <c r="AQ48" s="1"/>
  <c r="AS52"/>
  <c r="AV52"/>
  <c r="AW52" s="1"/>
  <c r="AN64"/>
  <c r="AO64" s="1"/>
  <c r="AT64"/>
  <c r="AU64" s="1"/>
  <c r="AM64"/>
  <c r="AP64"/>
  <c r="AQ64" s="1"/>
  <c r="AJ64"/>
  <c r="AK64" s="1"/>
  <c r="AX64"/>
  <c r="AN75"/>
  <c r="AO75" s="1"/>
  <c r="AT75"/>
  <c r="AU75" s="1"/>
  <c r="AM75"/>
  <c r="AP75"/>
  <c r="AQ75" s="1"/>
  <c r="AJ75"/>
  <c r="AK75" s="1"/>
  <c r="AX75"/>
  <c r="AV78"/>
  <c r="AW78" s="1"/>
  <c r="AS78"/>
  <c r="AF160"/>
  <c r="AF164" s="1"/>
  <c r="AN8"/>
  <c r="AM11"/>
  <c r="AN13"/>
  <c r="AO13" s="1"/>
  <c r="AN15"/>
  <c r="AO15" s="1"/>
  <c r="AN17"/>
  <c r="AO17" s="1"/>
  <c r="AN19"/>
  <c r="AO19" s="1"/>
  <c r="AN21"/>
  <c r="AO21" s="1"/>
  <c r="AS22"/>
  <c r="AJ23"/>
  <c r="AK23" s="1"/>
  <c r="AM25"/>
  <c r="AS26"/>
  <c r="AN27"/>
  <c r="AO27" s="1"/>
  <c r="AT27"/>
  <c r="AU27" s="1"/>
  <c r="BC27"/>
  <c r="AN29"/>
  <c r="AO29" s="1"/>
  <c r="AT29"/>
  <c r="AU29" s="1"/>
  <c r="BC29"/>
  <c r="AS30"/>
  <c r="AJ31"/>
  <c r="AK31" s="1"/>
  <c r="AP31"/>
  <c r="AQ31" s="1"/>
  <c r="AJ34"/>
  <c r="AK34" s="1"/>
  <c r="AS36"/>
  <c r="AP37"/>
  <c r="AQ37" s="1"/>
  <c r="AB38"/>
  <c r="AS40"/>
  <c r="AT44"/>
  <c r="AU44" s="1"/>
  <c r="AT48"/>
  <c r="AU48" s="1"/>
  <c r="AB51"/>
  <c r="AC160"/>
  <c r="AC164" s="1"/>
  <c r="AB8"/>
  <c r="AN11"/>
  <c r="AO11" s="1"/>
  <c r="AN25"/>
  <c r="AO25" s="1"/>
  <c r="AX36"/>
  <c r="AT36"/>
  <c r="AU36" s="1"/>
  <c r="AJ36"/>
  <c r="AK36" s="1"/>
  <c r="AN36"/>
  <c r="AO36" s="1"/>
  <c r="AX40"/>
  <c r="AT40"/>
  <c r="AU40" s="1"/>
  <c r="AJ40"/>
  <c r="AK40" s="1"/>
  <c r="AN40"/>
  <c r="AO40" s="1"/>
  <c r="AM45"/>
  <c r="AN45"/>
  <c r="AO45" s="1"/>
  <c r="AP45"/>
  <c r="AQ45" s="1"/>
  <c r="AM49"/>
  <c r="AN49"/>
  <c r="AO49" s="1"/>
  <c r="AP49"/>
  <c r="AQ49" s="1"/>
  <c r="AS56"/>
  <c r="AP56"/>
  <c r="AQ56" s="1"/>
  <c r="AV56"/>
  <c r="AW56" s="1"/>
  <c r="AM79"/>
  <c r="AP79"/>
  <c r="AQ79" s="1"/>
  <c r="AJ79"/>
  <c r="AK79" s="1"/>
  <c r="AX79"/>
  <c r="AS79"/>
  <c r="AT79"/>
  <c r="AU79" s="1"/>
  <c r="AN79"/>
  <c r="AO79" s="1"/>
  <c r="AM81"/>
  <c r="AP81"/>
  <c r="AQ81" s="1"/>
  <c r="AJ81"/>
  <c r="AK81" s="1"/>
  <c r="AX81"/>
  <c r="AS81"/>
  <c r="AT81"/>
  <c r="AU81" s="1"/>
  <c r="AN81"/>
  <c r="AO81" s="1"/>
  <c r="AP83"/>
  <c r="AQ83" s="1"/>
  <c r="AJ83"/>
  <c r="AK83" s="1"/>
  <c r="AX83"/>
  <c r="AS83"/>
  <c r="AM83"/>
  <c r="AT83"/>
  <c r="AU83" s="1"/>
  <c r="AN83"/>
  <c r="AO83" s="1"/>
  <c r="AM88"/>
  <c r="AP88"/>
  <c r="AQ88" s="1"/>
  <c r="AJ88"/>
  <c r="AK88" s="1"/>
  <c r="AX88"/>
  <c r="AS88"/>
  <c r="AT88"/>
  <c r="AU88" s="1"/>
  <c r="AN88"/>
  <c r="AO88" s="1"/>
  <c r="AN97"/>
  <c r="AO97" s="1"/>
  <c r="AM97"/>
  <c r="AP97"/>
  <c r="AQ97" s="1"/>
  <c r="AT97"/>
  <c r="AU97" s="1"/>
  <c r="AJ97"/>
  <c r="AK97" s="1"/>
  <c r="AX97"/>
  <c r="AP9"/>
  <c r="AQ9" s="1"/>
  <c r="AV9"/>
  <c r="AW9" s="1"/>
  <c r="AX11"/>
  <c r="AP12"/>
  <c r="AQ12" s="1"/>
  <c r="AV12"/>
  <c r="AW12" s="1"/>
  <c r="AP14"/>
  <c r="AQ14" s="1"/>
  <c r="AV14"/>
  <c r="AW14" s="1"/>
  <c r="AP16"/>
  <c r="AQ16" s="1"/>
  <c r="AV16"/>
  <c r="AW16" s="1"/>
  <c r="AP18"/>
  <c r="AQ18" s="1"/>
  <c r="AV18"/>
  <c r="AW18" s="1"/>
  <c r="AP20"/>
  <c r="AQ20" s="1"/>
  <c r="AV20"/>
  <c r="AW20" s="1"/>
  <c r="AX25"/>
  <c r="AM27"/>
  <c r="AS27"/>
  <c r="AX27"/>
  <c r="AV28"/>
  <c r="AW28" s="1"/>
  <c r="AM29"/>
  <c r="AS29"/>
  <c r="AX29"/>
  <c r="AJ30"/>
  <c r="AK30" s="1"/>
  <c r="AP30"/>
  <c r="AQ30" s="1"/>
  <c r="AS31"/>
  <c r="AP36"/>
  <c r="AQ36" s="1"/>
  <c r="AP40"/>
  <c r="AQ40" s="1"/>
  <c r="AT45"/>
  <c r="AU45" s="1"/>
  <c r="AT49"/>
  <c r="AU49" s="1"/>
  <c r="AX9"/>
  <c r="AT9"/>
  <c r="AU9" s="1"/>
  <c r="AJ9"/>
  <c r="AK9" s="1"/>
  <c r="AX12"/>
  <c r="AT12"/>
  <c r="AU12" s="1"/>
  <c r="AJ12"/>
  <c r="AK12" s="1"/>
  <c r="AX14"/>
  <c r="AT14"/>
  <c r="AU14" s="1"/>
  <c r="AJ14"/>
  <c r="AK14" s="1"/>
  <c r="AX16"/>
  <c r="AT16"/>
  <c r="AU16" s="1"/>
  <c r="AJ16"/>
  <c r="AK16" s="1"/>
  <c r="AX18"/>
  <c r="AT18"/>
  <c r="AU18" s="1"/>
  <c r="AJ18"/>
  <c r="AK18" s="1"/>
  <c r="AX20"/>
  <c r="AT20"/>
  <c r="AU20" s="1"/>
  <c r="AJ20"/>
  <c r="AK20" s="1"/>
  <c r="AN22"/>
  <c r="AO22" s="1"/>
  <c r="AN26"/>
  <c r="AO26" s="1"/>
  <c r="AX39"/>
  <c r="AT39"/>
  <c r="AU39" s="1"/>
  <c r="AJ39"/>
  <c r="AK39" s="1"/>
  <c r="AN39"/>
  <c r="AO39" s="1"/>
  <c r="AV42"/>
  <c r="AW42" s="1"/>
  <c r="AS42"/>
  <c r="AM46"/>
  <c r="AN46"/>
  <c r="AO46" s="1"/>
  <c r="AP46"/>
  <c r="AQ46" s="1"/>
  <c r="AM50"/>
  <c r="AN50"/>
  <c r="AO50" s="1"/>
  <c r="AP50"/>
  <c r="AQ50" s="1"/>
  <c r="AM54"/>
  <c r="AN54"/>
  <c r="AO54" s="1"/>
  <c r="AX54"/>
  <c r="AT54"/>
  <c r="AU54" s="1"/>
  <c r="AJ54"/>
  <c r="AK54" s="1"/>
  <c r="AP54"/>
  <c r="AQ54" s="1"/>
  <c r="AN9"/>
  <c r="AO9" s="1"/>
  <c r="AS10"/>
  <c r="AJ11"/>
  <c r="AK11" s="1"/>
  <c r="AP11"/>
  <c r="AQ11" s="1"/>
  <c r="AN12"/>
  <c r="AO12" s="1"/>
  <c r="AN14"/>
  <c r="AO14" s="1"/>
  <c r="AN16"/>
  <c r="AO16" s="1"/>
  <c r="AN18"/>
  <c r="AO18" s="1"/>
  <c r="AN20"/>
  <c r="AO20" s="1"/>
  <c r="AX22"/>
  <c r="AS24"/>
  <c r="AJ25"/>
  <c r="AK25" s="1"/>
  <c r="AP25"/>
  <c r="AQ25" s="1"/>
  <c r="AX26"/>
  <c r="AJ27"/>
  <c r="AK27" s="1"/>
  <c r="V28"/>
  <c r="AN28"/>
  <c r="AO28" s="1"/>
  <c r="BC28"/>
  <c r="AJ29"/>
  <c r="AK29" s="1"/>
  <c r="AM31"/>
  <c r="AT31"/>
  <c r="AU31" s="1"/>
  <c r="AS35"/>
  <c r="AB36"/>
  <c r="AM36"/>
  <c r="AP39"/>
  <c r="AQ39" s="1"/>
  <c r="AB40"/>
  <c r="AM40"/>
  <c r="AT42"/>
  <c r="AU42" s="1"/>
  <c r="AT46"/>
  <c r="AU46" s="1"/>
  <c r="AT50"/>
  <c r="AU50" s="1"/>
  <c r="AN23"/>
  <c r="AO23" s="1"/>
  <c r="T160"/>
  <c r="T164" s="1"/>
  <c r="AS33"/>
  <c r="R33"/>
  <c r="U33" s="1"/>
  <c r="AN34"/>
  <c r="AO34" s="1"/>
  <c r="AX38"/>
  <c r="AT38"/>
  <c r="AU38" s="1"/>
  <c r="AJ38"/>
  <c r="AK38" s="1"/>
  <c r="AN38"/>
  <c r="AO38" s="1"/>
  <c r="Q38"/>
  <c r="P38" s="1"/>
  <c r="CB38" s="1"/>
  <c r="CF38" s="1"/>
  <c r="AM42"/>
  <c r="Q42" s="1"/>
  <c r="P42" s="1"/>
  <c r="CB42" s="1"/>
  <c r="CF42" s="1"/>
  <c r="AP42"/>
  <c r="AQ42" s="1"/>
  <c r="AM43"/>
  <c r="AN43"/>
  <c r="AO43" s="1"/>
  <c r="AP43"/>
  <c r="AQ43" s="1"/>
  <c r="AM47"/>
  <c r="AN47"/>
  <c r="AO47" s="1"/>
  <c r="AP47"/>
  <c r="AQ47" s="1"/>
  <c r="AM76"/>
  <c r="AP76"/>
  <c r="AQ76" s="1"/>
  <c r="AJ76"/>
  <c r="AK76" s="1"/>
  <c r="AX76"/>
  <c r="AS76"/>
  <c r="AT76"/>
  <c r="AU76" s="1"/>
  <c r="AN76"/>
  <c r="AO76" s="1"/>
  <c r="V8"/>
  <c r="AP8"/>
  <c r="AV8"/>
  <c r="AB9"/>
  <c r="AM9"/>
  <c r="AS11"/>
  <c r="AM12"/>
  <c r="V13"/>
  <c r="Q13" s="1"/>
  <c r="P13" s="1"/>
  <c r="CB13" s="1"/>
  <c r="CF13" s="1"/>
  <c r="AB14"/>
  <c r="AM14"/>
  <c r="V15"/>
  <c r="AB16"/>
  <c r="AM16"/>
  <c r="V17"/>
  <c r="Q17" s="1"/>
  <c r="P17" s="1"/>
  <c r="CB17" s="1"/>
  <c r="CF17" s="1"/>
  <c r="AB18"/>
  <c r="AM18"/>
  <c r="V19"/>
  <c r="Q19" s="1"/>
  <c r="P19" s="1"/>
  <c r="CB19" s="1"/>
  <c r="CF19" s="1"/>
  <c r="AB20"/>
  <c r="Q20" s="1"/>
  <c r="P20" s="1"/>
  <c r="CB20" s="1"/>
  <c r="CF20" s="1"/>
  <c r="AM20"/>
  <c r="V21"/>
  <c r="Q21" s="1"/>
  <c r="P21" s="1"/>
  <c r="CB21" s="1"/>
  <c r="CF21" s="1"/>
  <c r="AJ22"/>
  <c r="AK22" s="1"/>
  <c r="AP22"/>
  <c r="AQ22" s="1"/>
  <c r="AX23"/>
  <c r="AS25"/>
  <c r="Q25" s="1"/>
  <c r="P25" s="1"/>
  <c r="CB25" s="1"/>
  <c r="CF25" s="1"/>
  <c r="AJ26"/>
  <c r="AK26" s="1"/>
  <c r="AP26"/>
  <c r="AQ26" s="1"/>
  <c r="AP28"/>
  <c r="AQ28" s="1"/>
  <c r="AM28"/>
  <c r="AX28"/>
  <c r="AM30"/>
  <c r="AN30"/>
  <c r="AO30" s="1"/>
  <c r="AT30"/>
  <c r="AU30" s="1"/>
  <c r="AX31"/>
  <c r="AV33"/>
  <c r="AW33" s="1"/>
  <c r="AX34"/>
  <c r="AP38"/>
  <c r="AQ38" s="1"/>
  <c r="AB39"/>
  <c r="AM39"/>
  <c r="Q39" s="1"/>
  <c r="P39" s="1"/>
  <c r="CB39" s="1"/>
  <c r="CF39" s="1"/>
  <c r="AS41"/>
  <c r="AT43"/>
  <c r="AU43" s="1"/>
  <c r="AJ45"/>
  <c r="AK45" s="1"/>
  <c r="AT47"/>
  <c r="AU47" s="1"/>
  <c r="AJ49"/>
  <c r="AK49" s="1"/>
  <c r="AN56"/>
  <c r="AO56" s="1"/>
  <c r="AP95"/>
  <c r="AQ95" s="1"/>
  <c r="AX95"/>
  <c r="AT95"/>
  <c r="AU95" s="1"/>
  <c r="AJ95"/>
  <c r="AK95" s="1"/>
  <c r="AM103"/>
  <c r="AN103"/>
  <c r="AO103" s="1"/>
  <c r="AP103"/>
  <c r="AQ103" s="1"/>
  <c r="AN148"/>
  <c r="AO148" s="1"/>
  <c r="AP148"/>
  <c r="AQ148" s="1"/>
  <c r="AJ148"/>
  <c r="AK148" s="1"/>
  <c r="AX148"/>
  <c r="AT148"/>
  <c r="AU148" s="1"/>
  <c r="AM148"/>
  <c r="BG160"/>
  <c r="BG164" s="1"/>
  <c r="AV41"/>
  <c r="AW41" s="1"/>
  <c r="I160"/>
  <c r="I164" s="1"/>
  <c r="AI51"/>
  <c r="AN51" s="1"/>
  <c r="AO51" s="1"/>
  <c r="AM52"/>
  <c r="BD52"/>
  <c r="BC52" s="1"/>
  <c r="AJ55"/>
  <c r="AK55" s="1"/>
  <c r="AT55"/>
  <c r="AU55" s="1"/>
  <c r="AX55"/>
  <c r="F56"/>
  <c r="O56" s="1"/>
  <c r="AM56"/>
  <c r="BD56"/>
  <c r="BC56" s="1"/>
  <c r="AJ58"/>
  <c r="AK58" s="1"/>
  <c r="AT58"/>
  <c r="AU58" s="1"/>
  <c r="AX58"/>
  <c r="AJ59"/>
  <c r="AK59" s="1"/>
  <c r="AT59"/>
  <c r="AU59" s="1"/>
  <c r="AX59"/>
  <c r="AJ60"/>
  <c r="AK60" s="1"/>
  <c r="AT60"/>
  <c r="AU60" s="1"/>
  <c r="AX60"/>
  <c r="AJ61"/>
  <c r="AK61" s="1"/>
  <c r="AT61"/>
  <c r="AU61" s="1"/>
  <c r="AX61"/>
  <c r="AJ62"/>
  <c r="AK62" s="1"/>
  <c r="AJ63"/>
  <c r="AK63" s="1"/>
  <c r="F65"/>
  <c r="O65" s="1"/>
  <c r="AP65"/>
  <c r="AQ65" s="1"/>
  <c r="AM65"/>
  <c r="AS65"/>
  <c r="AX65"/>
  <c r="AJ68"/>
  <c r="AK68" s="1"/>
  <c r="O69"/>
  <c r="AP69"/>
  <c r="AQ69" s="1"/>
  <c r="AM69"/>
  <c r="AS69"/>
  <c r="AX69"/>
  <c r="AS70"/>
  <c r="AP71"/>
  <c r="AQ71" s="1"/>
  <c r="AM71"/>
  <c r="AS71"/>
  <c r="AX71"/>
  <c r="AB72"/>
  <c r="AS72"/>
  <c r="AJ74"/>
  <c r="AK74" s="1"/>
  <c r="AB77"/>
  <c r="AJ80"/>
  <c r="AK80" s="1"/>
  <c r="AJ82"/>
  <c r="AK82" s="1"/>
  <c r="AB85"/>
  <c r="AS85"/>
  <c r="AB87"/>
  <c r="AS87"/>
  <c r="AJ89"/>
  <c r="AK89" s="1"/>
  <c r="AN91"/>
  <c r="AO91" s="1"/>
  <c r="AT91"/>
  <c r="AU91" s="1"/>
  <c r="BC91"/>
  <c r="BC95"/>
  <c r="AB96"/>
  <c r="AJ99"/>
  <c r="AK99" s="1"/>
  <c r="F100"/>
  <c r="O100" s="1"/>
  <c r="AI100"/>
  <c r="AP100" s="1"/>
  <c r="AQ100" s="1"/>
  <c r="AT103"/>
  <c r="AU103" s="1"/>
  <c r="Q116"/>
  <c r="P116" s="1"/>
  <c r="CB116" s="1"/>
  <c r="CF116" s="1"/>
  <c r="Q118"/>
  <c r="P118" s="1"/>
  <c r="CB118" s="1"/>
  <c r="CF118" s="1"/>
  <c r="Q122"/>
  <c r="P122" s="1"/>
  <c r="CB122" s="1"/>
  <c r="CF122" s="1"/>
  <c r="AT144"/>
  <c r="AU144" s="1"/>
  <c r="AN67"/>
  <c r="AO67" s="1"/>
  <c r="AX73"/>
  <c r="AT73"/>
  <c r="AU73" s="1"/>
  <c r="AJ73"/>
  <c r="AK73" s="1"/>
  <c r="AX84"/>
  <c r="AT84"/>
  <c r="AU84" s="1"/>
  <c r="AJ84"/>
  <c r="AK84" s="1"/>
  <c r="AX86"/>
  <c r="AT86"/>
  <c r="AU86" s="1"/>
  <c r="AJ86"/>
  <c r="AK86" s="1"/>
  <c r="AM104"/>
  <c r="AN104"/>
  <c r="AO104" s="1"/>
  <c r="AP104"/>
  <c r="AQ104" s="1"/>
  <c r="AT129"/>
  <c r="AU129" s="1"/>
  <c r="AP129"/>
  <c r="AQ129" s="1"/>
  <c r="AM129"/>
  <c r="AN129"/>
  <c r="AO129" s="1"/>
  <c r="AN133"/>
  <c r="AO133" s="1"/>
  <c r="AT133"/>
  <c r="AU133" s="1"/>
  <c r="AM133"/>
  <c r="AP133"/>
  <c r="AQ133" s="1"/>
  <c r="AJ133"/>
  <c r="AK133" s="1"/>
  <c r="AX133"/>
  <c r="AX141"/>
  <c r="AT141"/>
  <c r="AU141" s="1"/>
  <c r="AJ141"/>
  <c r="AK141" s="1"/>
  <c r="AP141"/>
  <c r="AQ141" s="1"/>
  <c r="AS144"/>
  <c r="AV144"/>
  <c r="AW144" s="1"/>
  <c r="AP52"/>
  <c r="AQ52" s="1"/>
  <c r="AN55"/>
  <c r="AO55" s="1"/>
  <c r="AS55"/>
  <c r="W57"/>
  <c r="AJ57" s="1"/>
  <c r="AK57" s="1"/>
  <c r="AN58"/>
  <c r="AO58" s="1"/>
  <c r="AS58"/>
  <c r="AN59"/>
  <c r="AO59" s="1"/>
  <c r="AS59"/>
  <c r="AN60"/>
  <c r="AO60" s="1"/>
  <c r="AS60"/>
  <c r="AN61"/>
  <c r="AO61" s="1"/>
  <c r="AS61"/>
  <c r="AS62"/>
  <c r="AN62"/>
  <c r="AO62" s="1"/>
  <c r="AT62"/>
  <c r="AU62" s="1"/>
  <c r="AM67"/>
  <c r="AT67"/>
  <c r="AU67" s="1"/>
  <c r="AN73"/>
  <c r="AO73" s="1"/>
  <c r="AM78"/>
  <c r="AN78"/>
  <c r="AO78" s="1"/>
  <c r="AT78"/>
  <c r="AU78" s="1"/>
  <c r="AN84"/>
  <c r="AO84" s="1"/>
  <c r="AN86"/>
  <c r="AO86" s="1"/>
  <c r="AV90"/>
  <c r="AW90" s="1"/>
  <c r="AM91"/>
  <c r="AS91"/>
  <c r="AX91"/>
  <c r="AP94"/>
  <c r="AQ94" s="1"/>
  <c r="AV94"/>
  <c r="AW94" s="1"/>
  <c r="AX100"/>
  <c r="AT104"/>
  <c r="AU104" s="1"/>
  <c r="BD78"/>
  <c r="BC78" s="1"/>
  <c r="F78"/>
  <c r="O78" s="1"/>
  <c r="AX94"/>
  <c r="AT94"/>
  <c r="AU94" s="1"/>
  <c r="AJ94"/>
  <c r="AK94" s="1"/>
  <c r="AN99"/>
  <c r="AO99" s="1"/>
  <c r="AM99"/>
  <c r="Q99" s="1"/>
  <c r="P99" s="1"/>
  <c r="CB99" s="1"/>
  <c r="CF99" s="1"/>
  <c r="AM101"/>
  <c r="AN101"/>
  <c r="AO101" s="1"/>
  <c r="AP101"/>
  <c r="AQ101" s="1"/>
  <c r="AM105"/>
  <c r="Q105" s="1"/>
  <c r="P105" s="1"/>
  <c r="CB105" s="1"/>
  <c r="CF105" s="1"/>
  <c r="AN105"/>
  <c r="AO105" s="1"/>
  <c r="AP105"/>
  <c r="AQ105" s="1"/>
  <c r="AG125"/>
  <c r="O125"/>
  <c r="AT126"/>
  <c r="AU126" s="1"/>
  <c r="AP126"/>
  <c r="AQ126" s="1"/>
  <c r="AM126"/>
  <c r="AN126"/>
  <c r="AO126" s="1"/>
  <c r="AV129"/>
  <c r="AW129" s="1"/>
  <c r="AS129"/>
  <c r="AS43"/>
  <c r="AS44"/>
  <c r="AS45"/>
  <c r="AS46"/>
  <c r="Q46" s="1"/>
  <c r="P46" s="1"/>
  <c r="CB46" s="1"/>
  <c r="CF46" s="1"/>
  <c r="AS47"/>
  <c r="AS48"/>
  <c r="AS49"/>
  <c r="AS50"/>
  <c r="Q50" s="1"/>
  <c r="P50" s="1"/>
  <c r="CB50" s="1"/>
  <c r="CF50" s="1"/>
  <c r="AP51"/>
  <c r="AQ51" s="1"/>
  <c r="AJ52"/>
  <c r="AK52" s="1"/>
  <c r="AT52"/>
  <c r="AU52" s="1"/>
  <c r="AX52"/>
  <c r="F53"/>
  <c r="O53" s="1"/>
  <c r="AI53"/>
  <c r="AM53" s="1"/>
  <c r="AS54"/>
  <c r="V55"/>
  <c r="Q55" s="1"/>
  <c r="P55" s="1"/>
  <c r="CB55" s="1"/>
  <c r="CF55" s="1"/>
  <c r="AJ56"/>
  <c r="AK56" s="1"/>
  <c r="AT56"/>
  <c r="AU56" s="1"/>
  <c r="AX56"/>
  <c r="F57"/>
  <c r="O57" s="1"/>
  <c r="BD57"/>
  <c r="BC57" s="1"/>
  <c r="V58"/>
  <c r="V59"/>
  <c r="V60"/>
  <c r="Q60" s="1"/>
  <c r="P60" s="1"/>
  <c r="CB60" s="1"/>
  <c r="CF60" s="1"/>
  <c r="V61"/>
  <c r="Q61" s="1"/>
  <c r="P61" s="1"/>
  <c r="CB61" s="1"/>
  <c r="CF61" s="1"/>
  <c r="V62"/>
  <c r="AM62"/>
  <c r="AS64"/>
  <c r="AM66"/>
  <c r="AS66"/>
  <c r="AX66"/>
  <c r="AS67"/>
  <c r="AX67"/>
  <c r="AM68"/>
  <c r="AN68"/>
  <c r="AO68" s="1"/>
  <c r="AT68"/>
  <c r="AU68" s="1"/>
  <c r="V72"/>
  <c r="AB73"/>
  <c r="AM73"/>
  <c r="AS73"/>
  <c r="AS75"/>
  <c r="F77"/>
  <c r="O77" s="1"/>
  <c r="V77"/>
  <c r="AI77"/>
  <c r="AT77" s="1"/>
  <c r="AU77" s="1"/>
  <c r="AX78"/>
  <c r="AM80"/>
  <c r="AN80"/>
  <c r="AO80" s="1"/>
  <c r="AT80"/>
  <c r="AU80" s="1"/>
  <c r="AM82"/>
  <c r="AN82"/>
  <c r="AO82" s="1"/>
  <c r="AT82"/>
  <c r="AU82" s="1"/>
  <c r="AB84"/>
  <c r="AM84"/>
  <c r="AS84"/>
  <c r="V85"/>
  <c r="AB86"/>
  <c r="Q86" s="1"/>
  <c r="P86" s="1"/>
  <c r="CB86" s="1"/>
  <c r="CF86" s="1"/>
  <c r="AM86"/>
  <c r="AS86"/>
  <c r="V87"/>
  <c r="AM89"/>
  <c r="AN89"/>
  <c r="AO89" s="1"/>
  <c r="AT89"/>
  <c r="AU89" s="1"/>
  <c r="V90"/>
  <c r="AN90"/>
  <c r="AO90" s="1"/>
  <c r="BC90"/>
  <c r="AJ91"/>
  <c r="AK91" s="1"/>
  <c r="AN94"/>
  <c r="AO94" s="1"/>
  <c r="AM95"/>
  <c r="AX99"/>
  <c r="AT101"/>
  <c r="AU101" s="1"/>
  <c r="AT105"/>
  <c r="AU105" s="1"/>
  <c r="AN63"/>
  <c r="AO63" s="1"/>
  <c r="AN70"/>
  <c r="AO70" s="1"/>
  <c r="AX72"/>
  <c r="AT72"/>
  <c r="AU72" s="1"/>
  <c r="AJ72"/>
  <c r="AK72" s="1"/>
  <c r="AN74"/>
  <c r="AO74" s="1"/>
  <c r="AJ77"/>
  <c r="AK77" s="1"/>
  <c r="AX85"/>
  <c r="AT85"/>
  <c r="AU85" s="1"/>
  <c r="AJ85"/>
  <c r="AK85" s="1"/>
  <c r="AX87"/>
  <c r="AT87"/>
  <c r="AU87" s="1"/>
  <c r="AJ87"/>
  <c r="AK87" s="1"/>
  <c r="AX96"/>
  <c r="AT96"/>
  <c r="AU96" s="1"/>
  <c r="AJ96"/>
  <c r="AK96" s="1"/>
  <c r="AN96"/>
  <c r="AO96" s="1"/>
  <c r="AN98"/>
  <c r="AO98" s="1"/>
  <c r="AM98"/>
  <c r="Q98" s="1"/>
  <c r="P98" s="1"/>
  <c r="CB98" s="1"/>
  <c r="CF98" s="1"/>
  <c r="AM102"/>
  <c r="AN102"/>
  <c r="AO102" s="1"/>
  <c r="AP102"/>
  <c r="AQ102" s="1"/>
  <c r="AV126"/>
  <c r="AW126" s="1"/>
  <c r="AS126"/>
  <c r="AG128"/>
  <c r="O128"/>
  <c r="AM132"/>
  <c r="AP132"/>
  <c r="AQ132" s="1"/>
  <c r="AJ132"/>
  <c r="AK132" s="1"/>
  <c r="AX132"/>
  <c r="AS132"/>
  <c r="AT132"/>
  <c r="AU132" s="1"/>
  <c r="AN132"/>
  <c r="AO132" s="1"/>
  <c r="AV141"/>
  <c r="AW141" s="1"/>
  <c r="AS141"/>
  <c r="AX145"/>
  <c r="AT145"/>
  <c r="AU145" s="1"/>
  <c r="AJ145"/>
  <c r="AK145" s="1"/>
  <c r="AN145"/>
  <c r="AO145" s="1"/>
  <c r="AP145"/>
  <c r="AQ145" s="1"/>
  <c r="AM145"/>
  <c r="AJ51"/>
  <c r="AK51" s="1"/>
  <c r="F52"/>
  <c r="O52" s="1"/>
  <c r="Q52"/>
  <c r="P52" s="1"/>
  <c r="CB52" s="1"/>
  <c r="CF52" s="1"/>
  <c r="AV62"/>
  <c r="AW62" s="1"/>
  <c r="AX63"/>
  <c r="Q63" s="1"/>
  <c r="P63" s="1"/>
  <c r="CB63" s="1"/>
  <c r="CF63" s="1"/>
  <c r="V65"/>
  <c r="AN65"/>
  <c r="AO65" s="1"/>
  <c r="Q66"/>
  <c r="P66" s="1"/>
  <c r="CB66" s="1"/>
  <c r="CF66" s="1"/>
  <c r="AJ66"/>
  <c r="AK66" s="1"/>
  <c r="AJ67"/>
  <c r="AK67" s="1"/>
  <c r="AP67"/>
  <c r="AQ67" s="1"/>
  <c r="AV67"/>
  <c r="AW67" s="1"/>
  <c r="AS68"/>
  <c r="AX68"/>
  <c r="V69"/>
  <c r="Q69" s="1"/>
  <c r="P69" s="1"/>
  <c r="CB69" s="1"/>
  <c r="CF69" s="1"/>
  <c r="AN69"/>
  <c r="AO69" s="1"/>
  <c r="BC69"/>
  <c r="AM70"/>
  <c r="Q70" s="1"/>
  <c r="P70" s="1"/>
  <c r="CB70" s="1"/>
  <c r="CF70" s="1"/>
  <c r="AT70"/>
  <c r="AU70" s="1"/>
  <c r="V71"/>
  <c r="AN71"/>
  <c r="AO71" s="1"/>
  <c r="AN72"/>
  <c r="AO72" s="1"/>
  <c r="Q73"/>
  <c r="P73" s="1"/>
  <c r="CB73" s="1"/>
  <c r="CF73" s="1"/>
  <c r="AX74"/>
  <c r="Q74" s="1"/>
  <c r="P74" s="1"/>
  <c r="CB74" s="1"/>
  <c r="CF74" s="1"/>
  <c r="AJ78"/>
  <c r="AK78" s="1"/>
  <c r="AP78"/>
  <c r="AQ78" s="1"/>
  <c r="AS80"/>
  <c r="AX80"/>
  <c r="AS82"/>
  <c r="AX82"/>
  <c r="BE83"/>
  <c r="BE160" s="1"/>
  <c r="BE164" s="1"/>
  <c r="AN85"/>
  <c r="AO85" s="1"/>
  <c r="AN87"/>
  <c r="AO87" s="1"/>
  <c r="AS89"/>
  <c r="AX89"/>
  <c r="AP90"/>
  <c r="AQ90" s="1"/>
  <c r="AM90"/>
  <c r="AX90"/>
  <c r="AB94"/>
  <c r="Q94" s="1"/>
  <c r="P94" s="1"/>
  <c r="CB94" s="1"/>
  <c r="CF94" s="1"/>
  <c r="AM94"/>
  <c r="AS97"/>
  <c r="AX98"/>
  <c r="AJ100"/>
  <c r="AK100" s="1"/>
  <c r="Q101"/>
  <c r="P101" s="1"/>
  <c r="CB101" s="1"/>
  <c r="CF101" s="1"/>
  <c r="AT102"/>
  <c r="AU102" s="1"/>
  <c r="AJ104"/>
  <c r="AK104" s="1"/>
  <c r="Q109"/>
  <c r="P109" s="1"/>
  <c r="CB109" s="1"/>
  <c r="CF109" s="1"/>
  <c r="Q117"/>
  <c r="P117" s="1"/>
  <c r="CB117" s="1"/>
  <c r="CF117" s="1"/>
  <c r="F96"/>
  <c r="O96" s="1"/>
  <c r="AV97"/>
  <c r="AW97" s="1"/>
  <c r="AV98"/>
  <c r="AW98" s="1"/>
  <c r="AV99"/>
  <c r="AW99" s="1"/>
  <c r="AM110"/>
  <c r="AV110"/>
  <c r="AW110" s="1"/>
  <c r="AM111"/>
  <c r="AV111"/>
  <c r="AW111" s="1"/>
  <c r="AM112"/>
  <c r="AV112"/>
  <c r="AW112" s="1"/>
  <c r="AJ119"/>
  <c r="AK119" s="1"/>
  <c r="AT119"/>
  <c r="AU119" s="1"/>
  <c r="AX119"/>
  <c r="AJ120"/>
  <c r="AK120" s="1"/>
  <c r="AT120"/>
  <c r="AU120" s="1"/>
  <c r="AX120"/>
  <c r="AM121"/>
  <c r="AV121"/>
  <c r="AW121" s="1"/>
  <c r="AJ123"/>
  <c r="AK123" s="1"/>
  <c r="AT123"/>
  <c r="AU123" s="1"/>
  <c r="AX123"/>
  <c r="F124"/>
  <c r="AV124"/>
  <c r="AW124" s="1"/>
  <c r="R128"/>
  <c r="U128" s="1"/>
  <c r="AS128" s="1"/>
  <c r="AG131"/>
  <c r="AJ131" s="1"/>
  <c r="AN131"/>
  <c r="AO131" s="1"/>
  <c r="AT131"/>
  <c r="AU131" s="1"/>
  <c r="AI134"/>
  <c r="R135"/>
  <c r="U135" s="1"/>
  <c r="AS135" s="1"/>
  <c r="AJ136"/>
  <c r="AK136" s="1"/>
  <c r="AM137"/>
  <c r="AX137"/>
  <c r="AI138"/>
  <c r="AT138" s="1"/>
  <c r="AU138" s="1"/>
  <c r="AI142"/>
  <c r="AV142" s="1"/>
  <c r="AW142" s="1"/>
  <c r="R143"/>
  <c r="U143" s="1"/>
  <c r="AS143" s="1"/>
  <c r="AB145"/>
  <c r="AS145"/>
  <c r="AV149"/>
  <c r="AW149" s="1"/>
  <c r="AP150"/>
  <c r="AQ150" s="1"/>
  <c r="BC150"/>
  <c r="AV151"/>
  <c r="AW151" s="1"/>
  <c r="AP152"/>
  <c r="AQ152" s="1"/>
  <c r="AB153"/>
  <c r="AT130"/>
  <c r="AU130" s="1"/>
  <c r="AJ138"/>
  <c r="AK138" s="1"/>
  <c r="R146"/>
  <c r="U146" s="1"/>
  <c r="AS146" s="1"/>
  <c r="AP110"/>
  <c r="AQ110" s="1"/>
  <c r="AP111"/>
  <c r="AQ111" s="1"/>
  <c r="AP112"/>
  <c r="AQ112" s="1"/>
  <c r="AN119"/>
  <c r="AO119" s="1"/>
  <c r="AS119"/>
  <c r="AN120"/>
  <c r="AO120" s="1"/>
  <c r="AS120"/>
  <c r="AN123"/>
  <c r="AO123" s="1"/>
  <c r="AS123"/>
  <c r="AN130"/>
  <c r="AO130" s="1"/>
  <c r="AM131"/>
  <c r="AS131"/>
  <c r="AJ137"/>
  <c r="AK137" s="1"/>
  <c r="AN138"/>
  <c r="AO138" s="1"/>
  <c r="AN144"/>
  <c r="AO144" s="1"/>
  <c r="AS151"/>
  <c r="AS127"/>
  <c r="R127"/>
  <c r="U127" s="1"/>
  <c r="AP149"/>
  <c r="AQ149" s="1"/>
  <c r="AX149"/>
  <c r="AT149"/>
  <c r="AU149" s="1"/>
  <c r="AJ149"/>
  <c r="AK149" s="1"/>
  <c r="AS101"/>
  <c r="AS102"/>
  <c r="Q102" s="1"/>
  <c r="P102" s="1"/>
  <c r="CB102" s="1"/>
  <c r="CF102" s="1"/>
  <c r="AS103"/>
  <c r="AS104"/>
  <c r="AS105"/>
  <c r="AJ110"/>
  <c r="AK110" s="1"/>
  <c r="AT110"/>
  <c r="AU110" s="1"/>
  <c r="AX110"/>
  <c r="Q110" s="1"/>
  <c r="P110" s="1"/>
  <c r="CB110" s="1"/>
  <c r="CF110" s="1"/>
  <c r="AJ111"/>
  <c r="AK111" s="1"/>
  <c r="AT111"/>
  <c r="AU111" s="1"/>
  <c r="AX111"/>
  <c r="Q111" s="1"/>
  <c r="P111" s="1"/>
  <c r="CB111" s="1"/>
  <c r="CF111" s="1"/>
  <c r="AJ112"/>
  <c r="AK112" s="1"/>
  <c r="AT112"/>
  <c r="AU112" s="1"/>
  <c r="AX112"/>
  <c r="V119"/>
  <c r="Q119" s="1"/>
  <c r="P119" s="1"/>
  <c r="CB119" s="1"/>
  <c r="CF119" s="1"/>
  <c r="V120"/>
  <c r="AJ121"/>
  <c r="AK121" s="1"/>
  <c r="AT121"/>
  <c r="AU121" s="1"/>
  <c r="AX121"/>
  <c r="Q121" s="1"/>
  <c r="P121" s="1"/>
  <c r="CB121" s="1"/>
  <c r="CF121" s="1"/>
  <c r="V123"/>
  <c r="R125"/>
  <c r="U125" s="1"/>
  <c r="AI125"/>
  <c r="AS125" s="1"/>
  <c r="F126"/>
  <c r="F129"/>
  <c r="AM130"/>
  <c r="AS130"/>
  <c r="AS133"/>
  <c r="AV134"/>
  <c r="AW134" s="1"/>
  <c r="AM136"/>
  <c r="AN136"/>
  <c r="AO136" s="1"/>
  <c r="AT136"/>
  <c r="AU136" s="1"/>
  <c r="AB138"/>
  <c r="R140"/>
  <c r="U140" s="1"/>
  <c r="AP144"/>
  <c r="AQ144" s="1"/>
  <c r="AM144"/>
  <c r="AX144"/>
  <c r="BC149"/>
  <c r="AM150"/>
  <c r="AP151"/>
  <c r="AQ151" s="1"/>
  <c r="BC151"/>
  <c r="AM152"/>
  <c r="AB155"/>
  <c r="R139"/>
  <c r="U139" s="1"/>
  <c r="AS139" s="1"/>
  <c r="AI147"/>
  <c r="F147"/>
  <c r="O147" s="1"/>
  <c r="AX162"/>
  <c r="AJ162"/>
  <c r="AM162"/>
  <c r="R124"/>
  <c r="U124" s="1"/>
  <c r="AS124" s="1"/>
  <c r="AV127"/>
  <c r="AW127" s="1"/>
  <c r="BI127"/>
  <c r="AE160"/>
  <c r="AE164" s="1"/>
  <c r="R134"/>
  <c r="U134" s="1"/>
  <c r="AS136"/>
  <c r="Q136" s="1"/>
  <c r="P136" s="1"/>
  <c r="CB136" s="1"/>
  <c r="CF136" s="1"/>
  <c r="AX136"/>
  <c r="AN137"/>
  <c r="AO137" s="1"/>
  <c r="AT137"/>
  <c r="AU137" s="1"/>
  <c r="AI140"/>
  <c r="AV140" s="1"/>
  <c r="AW140" s="1"/>
  <c r="F141"/>
  <c r="O141" s="1"/>
  <c r="BI141"/>
  <c r="R142"/>
  <c r="U142" s="1"/>
  <c r="AJ144"/>
  <c r="AK144" s="1"/>
  <c r="AT147"/>
  <c r="AU147" s="1"/>
  <c r="AS148"/>
  <c r="AB149"/>
  <c r="AN149"/>
  <c r="AO149" s="1"/>
  <c r="AB151"/>
  <c r="V152"/>
  <c r="AS152"/>
  <c r="AB154"/>
  <c r="AJ150"/>
  <c r="AK150" s="1"/>
  <c r="AT150"/>
  <c r="AU150" s="1"/>
  <c r="AX150"/>
  <c r="AJ151"/>
  <c r="AK151" s="1"/>
  <c r="AT151"/>
  <c r="AU151" s="1"/>
  <c r="AX151"/>
  <c r="AJ152"/>
  <c r="AK152" s="1"/>
  <c r="AT152"/>
  <c r="AU152" s="1"/>
  <c r="AX152"/>
  <c r="AJ153"/>
  <c r="AK153" s="1"/>
  <c r="AT153"/>
  <c r="AU153" s="1"/>
  <c r="AX153"/>
  <c r="AJ154"/>
  <c r="AK154" s="1"/>
  <c r="AT154"/>
  <c r="AU154" s="1"/>
  <c r="AX154"/>
  <c r="AJ155"/>
  <c r="AK155" s="1"/>
  <c r="AT155"/>
  <c r="AU155" s="1"/>
  <c r="AX155"/>
  <c r="AJ156"/>
  <c r="AK156" s="1"/>
  <c r="AT156"/>
  <c r="AU156" s="1"/>
  <c r="AX156"/>
  <c r="AJ157"/>
  <c r="AK157" s="1"/>
  <c r="AT157"/>
  <c r="AU157" s="1"/>
  <c r="AX157"/>
  <c r="AN158"/>
  <c r="AO158" s="1"/>
  <c r="AJ159"/>
  <c r="AK159" s="1"/>
  <c r="AT159"/>
  <c r="AU159" s="1"/>
  <c r="AX159"/>
  <c r="O163"/>
  <c r="AM158"/>
  <c r="Q158" s="1"/>
  <c r="P158" s="1"/>
  <c r="CB158" s="1"/>
  <c r="CF158" s="1"/>
  <c r="AN159"/>
  <c r="AO159" s="1"/>
  <c r="BJ160"/>
  <c r="BJ164" s="1"/>
  <c r="AP158"/>
  <c r="AQ158" s="1"/>
  <c r="AM159"/>
  <c r="AS161"/>
  <c r="Q161" s="1"/>
  <c r="P161" s="1"/>
  <c r="CB161" s="1"/>
  <c r="CF161" s="1"/>
  <c r="AJ158"/>
  <c r="AK158" s="1"/>
  <c r="AT158"/>
  <c r="AU158" s="1"/>
  <c r="BC11" i="5"/>
  <c r="AP12"/>
  <c r="AQ12" s="1"/>
  <c r="AP14"/>
  <c r="AQ14" s="1"/>
  <c r="AP16"/>
  <c r="AQ16" s="1"/>
  <c r="AP18"/>
  <c r="AQ18" s="1"/>
  <c r="AP20"/>
  <c r="AQ20" s="1"/>
  <c r="AB22"/>
  <c r="AB27"/>
  <c r="AX31"/>
  <c r="AB33"/>
  <c r="AB34"/>
  <c r="AJ36"/>
  <c r="AK36" s="1"/>
  <c r="AB38"/>
  <c r="BC39"/>
  <c r="AB41"/>
  <c r="BC41"/>
  <c r="BC42"/>
  <c r="AS45"/>
  <c r="BC46"/>
  <c r="AS49"/>
  <c r="BC50"/>
  <c r="F51"/>
  <c r="AI52"/>
  <c r="AS52" s="1"/>
  <c r="AB67"/>
  <c r="BC74"/>
  <c r="AB75"/>
  <c r="AB77"/>
  <c r="AB79"/>
  <c r="BC81"/>
  <c r="BC82"/>
  <c r="AB84"/>
  <c r="AB86"/>
  <c r="BW160"/>
  <c r="BW164" s="1"/>
  <c r="AB88"/>
  <c r="BC94"/>
  <c r="AS97"/>
  <c r="AS98"/>
  <c r="AX102"/>
  <c r="AB104"/>
  <c r="AS110"/>
  <c r="AB111"/>
  <c r="BC111"/>
  <c r="AB114"/>
  <c r="Q114" s="1"/>
  <c r="P114" s="1"/>
  <c r="CB114" s="1"/>
  <c r="AB116"/>
  <c r="Q116" s="1"/>
  <c r="AB118"/>
  <c r="BC121"/>
  <c r="AV126"/>
  <c r="AW126" s="1"/>
  <c r="F129"/>
  <c r="AG129" s="1"/>
  <c r="F138"/>
  <c r="O138" s="1"/>
  <c r="AB142"/>
  <c r="O148"/>
  <c r="BC153"/>
  <c r="BC157"/>
  <c r="AB159"/>
  <c r="AB163"/>
  <c r="Q163" s="1"/>
  <c r="AT27"/>
  <c r="AU27" s="1"/>
  <c r="BC33"/>
  <c r="AT35"/>
  <c r="AU35" s="1"/>
  <c r="BC37"/>
  <c r="AS46"/>
  <c r="AS50"/>
  <c r="AI57"/>
  <c r="AV57" s="1"/>
  <c r="AW57" s="1"/>
  <c r="BC64"/>
  <c r="BC67"/>
  <c r="AJ73"/>
  <c r="AK73" s="1"/>
  <c r="AS75"/>
  <c r="O76"/>
  <c r="AB83"/>
  <c r="AJ85"/>
  <c r="AK85" s="1"/>
  <c r="BC102"/>
  <c r="AM121"/>
  <c r="BY164"/>
  <c r="AT28"/>
  <c r="AU28" s="1"/>
  <c r="AT132"/>
  <c r="AU132" s="1"/>
  <c r="AB134"/>
  <c r="AB162"/>
  <c r="AM8"/>
  <c r="AB11"/>
  <c r="BC12"/>
  <c r="BC14"/>
  <c r="BC16"/>
  <c r="BC18"/>
  <c r="BC20"/>
  <c r="AT22"/>
  <c r="AU22" s="1"/>
  <c r="BC24"/>
  <c r="V28"/>
  <c r="BC36"/>
  <c r="AS44"/>
  <c r="BC45"/>
  <c r="AS48"/>
  <c r="BC49"/>
  <c r="F52"/>
  <c r="O52" s="1"/>
  <c r="BC54"/>
  <c r="F55"/>
  <c r="O55" s="1"/>
  <c r="F57"/>
  <c r="O57" s="1"/>
  <c r="AB57"/>
  <c r="AB60"/>
  <c r="AM62"/>
  <c r="BC69"/>
  <c r="BC70"/>
  <c r="AP72"/>
  <c r="AQ72" s="1"/>
  <c r="AB78"/>
  <c r="AB80"/>
  <c r="BC80"/>
  <c r="AT86"/>
  <c r="AU86" s="1"/>
  <c r="BC90"/>
  <c r="AP95"/>
  <c r="AQ95" s="1"/>
  <c r="AB97"/>
  <c r="BC103"/>
  <c r="AX105"/>
  <c r="AM112"/>
  <c r="Q113"/>
  <c r="BC115"/>
  <c r="Q117"/>
  <c r="BC119"/>
  <c r="AB122"/>
  <c r="AB133"/>
  <c r="AI144"/>
  <c r="AV144" s="1"/>
  <c r="AW144" s="1"/>
  <c r="AX150"/>
  <c r="BC152"/>
  <c r="AN155"/>
  <c r="AO155" s="1"/>
  <c r="BC156"/>
  <c r="AM23"/>
  <c r="AT23"/>
  <c r="AU23" s="1"/>
  <c r="AP61"/>
  <c r="AQ61" s="1"/>
  <c r="AM61"/>
  <c r="AP100"/>
  <c r="AQ100" s="1"/>
  <c r="AM100"/>
  <c r="AS100"/>
  <c r="AV100"/>
  <c r="AW100" s="1"/>
  <c r="AJ88"/>
  <c r="AK88" s="1"/>
  <c r="AP88"/>
  <c r="AQ88" s="1"/>
  <c r="AT88"/>
  <c r="AU88" s="1"/>
  <c r="AP91"/>
  <c r="AQ91" s="1"/>
  <c r="AM91"/>
  <c r="AP111"/>
  <c r="AQ111" s="1"/>
  <c r="AM111"/>
  <c r="AT10"/>
  <c r="AU10" s="1"/>
  <c r="AS34"/>
  <c r="AX34"/>
  <c r="AS36"/>
  <c r="AX36"/>
  <c r="AS38"/>
  <c r="AX38"/>
  <c r="AS41"/>
  <c r="AI53"/>
  <c r="BD57"/>
  <c r="BC57" s="1"/>
  <c r="AM58"/>
  <c r="AM59"/>
  <c r="AS61"/>
  <c r="AP63"/>
  <c r="AQ63" s="1"/>
  <c r="AP71"/>
  <c r="AQ71" s="1"/>
  <c r="BC73"/>
  <c r="AP74"/>
  <c r="AQ74" s="1"/>
  <c r="AP75"/>
  <c r="AQ75" s="1"/>
  <c r="AT76"/>
  <c r="AU76" s="1"/>
  <c r="O78"/>
  <c r="AP84"/>
  <c r="AQ84" s="1"/>
  <c r="BC84"/>
  <c r="AN86"/>
  <c r="AO86" s="1"/>
  <c r="AB87"/>
  <c r="AS88"/>
  <c r="AB89"/>
  <c r="BC91"/>
  <c r="Q93"/>
  <c r="P93" s="1"/>
  <c r="CB93" s="1"/>
  <c r="AB94"/>
  <c r="BD100"/>
  <c r="BC100" s="1"/>
  <c r="AN101"/>
  <c r="AO101" s="1"/>
  <c r="AM101"/>
  <c r="Q106"/>
  <c r="Q107"/>
  <c r="P107" s="1"/>
  <c r="CB107" s="1"/>
  <c r="AB110"/>
  <c r="AV110"/>
  <c r="AW110" s="1"/>
  <c r="AS111"/>
  <c r="AB112"/>
  <c r="AV112"/>
  <c r="AW112" s="1"/>
  <c r="BC120"/>
  <c r="AX121"/>
  <c r="AJ122"/>
  <c r="AK122" s="1"/>
  <c r="V132"/>
  <c r="AS132"/>
  <c r="AP133"/>
  <c r="AQ133" s="1"/>
  <c r="F134"/>
  <c r="O134" s="1"/>
  <c r="AP136"/>
  <c r="AQ136" s="1"/>
  <c r="AB141"/>
  <c r="AB144"/>
  <c r="AV145"/>
  <c r="AW145" s="1"/>
  <c r="AB147"/>
  <c r="AX149"/>
  <c r="BC149"/>
  <c r="AM150"/>
  <c r="AX151"/>
  <c r="BC151"/>
  <c r="AB152"/>
  <c r="AB153"/>
  <c r="AB154"/>
  <c r="AB155"/>
  <c r="AB156"/>
  <c r="AB157"/>
  <c r="BJ160"/>
  <c r="AG163"/>
  <c r="BC8"/>
  <c r="AB10"/>
  <c r="BC10"/>
  <c r="BC15"/>
  <c r="AP19"/>
  <c r="AQ19" s="1"/>
  <c r="BC19"/>
  <c r="AP28"/>
  <c r="AQ28" s="1"/>
  <c r="AB28"/>
  <c r="BC28"/>
  <c r="AS29"/>
  <c r="AV34"/>
  <c r="AW34" s="1"/>
  <c r="AV36"/>
  <c r="AW36" s="1"/>
  <c r="AV38"/>
  <c r="AW38" s="1"/>
  <c r="AS40"/>
  <c r="BC40"/>
  <c r="AV43"/>
  <c r="AW43" s="1"/>
  <c r="AV44"/>
  <c r="AW44" s="1"/>
  <c r="AV45"/>
  <c r="AW45" s="1"/>
  <c r="AV46"/>
  <c r="AW46" s="1"/>
  <c r="AV47"/>
  <c r="AW47" s="1"/>
  <c r="AV48"/>
  <c r="AW48" s="1"/>
  <c r="AV49"/>
  <c r="AW49" s="1"/>
  <c r="AV50"/>
  <c r="AW50" s="1"/>
  <c r="BC52"/>
  <c r="AB53"/>
  <c r="AP54"/>
  <c r="AQ54" s="1"/>
  <c r="AI55"/>
  <c r="AV55" s="1"/>
  <c r="AW55" s="1"/>
  <c r="V58"/>
  <c r="AM60"/>
  <c r="AB62"/>
  <c r="BC62"/>
  <c r="AB63"/>
  <c r="AS63"/>
  <c r="BI64"/>
  <c r="BC72"/>
  <c r="AB76"/>
  <c r="AT84"/>
  <c r="AU84" s="1"/>
  <c r="AJ86"/>
  <c r="AK86" s="1"/>
  <c r="AS99"/>
  <c r="AS101"/>
  <c r="AS103"/>
  <c r="AS105"/>
  <c r="Q108"/>
  <c r="AN110"/>
  <c r="AO110" s="1"/>
  <c r="AN112"/>
  <c r="AO112" s="1"/>
  <c r="AS119"/>
  <c r="AB121"/>
  <c r="AP121"/>
  <c r="AQ121" s="1"/>
  <c r="BC122"/>
  <c r="AV124"/>
  <c r="AW124" s="1"/>
  <c r="F126"/>
  <c r="O131"/>
  <c r="AE160"/>
  <c r="AE164" s="1"/>
  <c r="AS134"/>
  <c r="AB138"/>
  <c r="AB139"/>
  <c r="AI141"/>
  <c r="AV141" s="1"/>
  <c r="AW141" s="1"/>
  <c r="F145"/>
  <c r="O145" s="1"/>
  <c r="AB146"/>
  <c r="AB148"/>
  <c r="AB149"/>
  <c r="AS150"/>
  <c r="AB151"/>
  <c r="BC158"/>
  <c r="BK164"/>
  <c r="BI161"/>
  <c r="AS8"/>
  <c r="AS24"/>
  <c r="AT34"/>
  <c r="AU34" s="1"/>
  <c r="AT36"/>
  <c r="AU36" s="1"/>
  <c r="AT38"/>
  <c r="AU38" s="1"/>
  <c r="BD53"/>
  <c r="BC53" s="1"/>
  <c r="AM63"/>
  <c r="AI67"/>
  <c r="AV67" s="1"/>
  <c r="AW67" s="1"/>
  <c r="AN73"/>
  <c r="AO73" s="1"/>
  <c r="AN84"/>
  <c r="AO84" s="1"/>
  <c r="AS87"/>
  <c r="AM90"/>
  <c r="AN91"/>
  <c r="AO91" s="1"/>
  <c r="AN100"/>
  <c r="AO100" s="1"/>
  <c r="AS121"/>
  <c r="AX134"/>
  <c r="AI137"/>
  <c r="AS137" s="1"/>
  <c r="AM149"/>
  <c r="AM151"/>
  <c r="AS152"/>
  <c r="AS153"/>
  <c r="AS154"/>
  <c r="AS155"/>
  <c r="AS156"/>
  <c r="AS157"/>
  <c r="AS10"/>
  <c r="BC13"/>
  <c r="AP17"/>
  <c r="AQ17" s="1"/>
  <c r="BC17"/>
  <c r="AP21"/>
  <c r="AQ21" s="1"/>
  <c r="BC21"/>
  <c r="BC25"/>
  <c r="AB26"/>
  <c r="BC26"/>
  <c r="AJ27"/>
  <c r="AK27" s="1"/>
  <c r="AN29"/>
  <c r="AO29" s="1"/>
  <c r="AB42"/>
  <c r="AB43"/>
  <c r="AB44"/>
  <c r="AB45"/>
  <c r="AB46"/>
  <c r="AB47"/>
  <c r="AB48"/>
  <c r="AB49"/>
  <c r="AB50"/>
  <c r="AB55"/>
  <c r="AB58"/>
  <c r="BC58"/>
  <c r="AB59"/>
  <c r="AS59"/>
  <c r="V62"/>
  <c r="AM64"/>
  <c r="F65"/>
  <c r="O65" s="1"/>
  <c r="AB65"/>
  <c r="F67"/>
  <c r="O67" s="1"/>
  <c r="AB70"/>
  <c r="AJ72"/>
  <c r="AK72" s="1"/>
  <c r="V73"/>
  <c r="AB82"/>
  <c r="AT85"/>
  <c r="AU85" s="1"/>
  <c r="BC87"/>
  <c r="V90"/>
  <c r="AS90"/>
  <c r="V91"/>
  <c r="AS91"/>
  <c r="AS95"/>
  <c r="F100"/>
  <c r="O100" s="1"/>
  <c r="V100"/>
  <c r="AS102"/>
  <c r="AB103"/>
  <c r="AS104"/>
  <c r="AB105"/>
  <c r="BC106"/>
  <c r="AP110"/>
  <c r="AQ110" s="1"/>
  <c r="BC110"/>
  <c r="AN111"/>
  <c r="AO111" s="1"/>
  <c r="AP112"/>
  <c r="AQ112" s="1"/>
  <c r="BC112"/>
  <c r="BC113"/>
  <c r="P113" s="1"/>
  <c r="CB113" s="1"/>
  <c r="BC116"/>
  <c r="BC117"/>
  <c r="P117" s="1"/>
  <c r="CB117" s="1"/>
  <c r="V121"/>
  <c r="AM131"/>
  <c r="AB135"/>
  <c r="F143"/>
  <c r="O143" s="1"/>
  <c r="AN148"/>
  <c r="AO148" s="1"/>
  <c r="AS148"/>
  <c r="AS149"/>
  <c r="AB150"/>
  <c r="AS151"/>
  <c r="AM161"/>
  <c r="AS161"/>
  <c r="AX162"/>
  <c r="AS162"/>
  <c r="BJ163"/>
  <c r="BI163" s="1"/>
  <c r="AN25"/>
  <c r="AO25" s="1"/>
  <c r="AT25"/>
  <c r="AU25" s="1"/>
  <c r="AM25"/>
  <c r="AP25"/>
  <c r="AQ25" s="1"/>
  <c r="AJ25"/>
  <c r="AK25" s="1"/>
  <c r="AX25"/>
  <c r="AN11"/>
  <c r="AO11" s="1"/>
  <c r="AT11"/>
  <c r="AU11" s="1"/>
  <c r="AM11"/>
  <c r="AP11"/>
  <c r="AQ11" s="1"/>
  <c r="AJ11"/>
  <c r="AK11" s="1"/>
  <c r="AX11"/>
  <c r="AC160"/>
  <c r="AC164" s="1"/>
  <c r="AB8"/>
  <c r="AX29"/>
  <c r="AT29"/>
  <c r="AU29" s="1"/>
  <c r="AP29"/>
  <c r="AQ29" s="1"/>
  <c r="AP34"/>
  <c r="AQ34" s="1"/>
  <c r="AM34"/>
  <c r="Q34" s="1"/>
  <c r="P34" s="1"/>
  <c r="CB34" s="1"/>
  <c r="AN34"/>
  <c r="AO34" s="1"/>
  <c r="AP36"/>
  <c r="AQ36" s="1"/>
  <c r="AM36"/>
  <c r="Q36" s="1"/>
  <c r="P36" s="1"/>
  <c r="CB36" s="1"/>
  <c r="AN36"/>
  <c r="AO36" s="1"/>
  <c r="AP38"/>
  <c r="AQ38" s="1"/>
  <c r="AM38"/>
  <c r="Q38" s="1"/>
  <c r="P38" s="1"/>
  <c r="CB38" s="1"/>
  <c r="AN38"/>
  <c r="AO38" s="1"/>
  <c r="AX40"/>
  <c r="AT40"/>
  <c r="AU40" s="1"/>
  <c r="AJ40"/>
  <c r="AK40" s="1"/>
  <c r="AP40"/>
  <c r="AQ40" s="1"/>
  <c r="AM40"/>
  <c r="AN40"/>
  <c r="AO40" s="1"/>
  <c r="AM43"/>
  <c r="AN43"/>
  <c r="AO43" s="1"/>
  <c r="AX43"/>
  <c r="AT43"/>
  <c r="AU43" s="1"/>
  <c r="AJ43"/>
  <c r="AK43" s="1"/>
  <c r="AP43"/>
  <c r="AQ43" s="1"/>
  <c r="AM44"/>
  <c r="AN44"/>
  <c r="AO44" s="1"/>
  <c r="AX44"/>
  <c r="AT44"/>
  <c r="AU44" s="1"/>
  <c r="AJ44"/>
  <c r="AK44" s="1"/>
  <c r="AP44"/>
  <c r="AQ44" s="1"/>
  <c r="AM45"/>
  <c r="AN45"/>
  <c r="AO45" s="1"/>
  <c r="AX45"/>
  <c r="AT45"/>
  <c r="AU45" s="1"/>
  <c r="AJ45"/>
  <c r="AK45" s="1"/>
  <c r="AP45"/>
  <c r="AQ45" s="1"/>
  <c r="AM46"/>
  <c r="AN46"/>
  <c r="AO46" s="1"/>
  <c r="AX46"/>
  <c r="AT46"/>
  <c r="AU46" s="1"/>
  <c r="AJ46"/>
  <c r="AK46" s="1"/>
  <c r="AP46"/>
  <c r="AQ46" s="1"/>
  <c r="AM47"/>
  <c r="AN47"/>
  <c r="AO47" s="1"/>
  <c r="AX47"/>
  <c r="AT47"/>
  <c r="AU47" s="1"/>
  <c r="AJ47"/>
  <c r="AK47" s="1"/>
  <c r="AP47"/>
  <c r="AQ47" s="1"/>
  <c r="AM48"/>
  <c r="AN48"/>
  <c r="AO48" s="1"/>
  <c r="AX48"/>
  <c r="AT48"/>
  <c r="AU48" s="1"/>
  <c r="AJ48"/>
  <c r="AK48" s="1"/>
  <c r="AP48"/>
  <c r="AQ48" s="1"/>
  <c r="AM49"/>
  <c r="AN49"/>
  <c r="AO49" s="1"/>
  <c r="AX49"/>
  <c r="AT49"/>
  <c r="AU49" s="1"/>
  <c r="AJ49"/>
  <c r="AK49" s="1"/>
  <c r="AP49"/>
  <c r="AQ49" s="1"/>
  <c r="AM50"/>
  <c r="AN50"/>
  <c r="AO50" s="1"/>
  <c r="AX50"/>
  <c r="AT50"/>
  <c r="AU50" s="1"/>
  <c r="AJ50"/>
  <c r="AK50" s="1"/>
  <c r="AP50"/>
  <c r="AQ50" s="1"/>
  <c r="AM56"/>
  <c r="AX56"/>
  <c r="AS56"/>
  <c r="AT56"/>
  <c r="AU56" s="1"/>
  <c r="AN56"/>
  <c r="AO56" s="1"/>
  <c r="AP56"/>
  <c r="AQ56" s="1"/>
  <c r="AJ56"/>
  <c r="AK56" s="1"/>
  <c r="AN78"/>
  <c r="AO78" s="1"/>
  <c r="AX78"/>
  <c r="AT78"/>
  <c r="AU78" s="1"/>
  <c r="AM78"/>
  <c r="AP78"/>
  <c r="AQ78" s="1"/>
  <c r="AJ78"/>
  <c r="AK78" s="1"/>
  <c r="AJ10"/>
  <c r="AK10" s="1"/>
  <c r="AP10"/>
  <c r="AQ10" s="1"/>
  <c r="AB13"/>
  <c r="AM13"/>
  <c r="AS13"/>
  <c r="AB15"/>
  <c r="AM15"/>
  <c r="AS15"/>
  <c r="AB17"/>
  <c r="AS17"/>
  <c r="AB19"/>
  <c r="AS19"/>
  <c r="AB21"/>
  <c r="AS21"/>
  <c r="AM22"/>
  <c r="AS23"/>
  <c r="AJ24"/>
  <c r="AK24" s="1"/>
  <c r="AP24"/>
  <c r="AQ24" s="1"/>
  <c r="AM26"/>
  <c r="AP27"/>
  <c r="AQ27" s="1"/>
  <c r="AM27"/>
  <c r="AS27"/>
  <c r="AX27"/>
  <c r="AM29"/>
  <c r="AS30"/>
  <c r="AJ31"/>
  <c r="AK31" s="1"/>
  <c r="AS32"/>
  <c r="AS35"/>
  <c r="AS37"/>
  <c r="AS39"/>
  <c r="AX9"/>
  <c r="AT9"/>
  <c r="AU9" s="1"/>
  <c r="AJ9"/>
  <c r="AK9" s="1"/>
  <c r="AX12"/>
  <c r="AT12"/>
  <c r="AU12" s="1"/>
  <c r="AJ12"/>
  <c r="AK12" s="1"/>
  <c r="AX14"/>
  <c r="AT14"/>
  <c r="AU14" s="1"/>
  <c r="AJ14"/>
  <c r="AK14" s="1"/>
  <c r="AX16"/>
  <c r="AT16"/>
  <c r="AU16" s="1"/>
  <c r="AJ16"/>
  <c r="AK16" s="1"/>
  <c r="AX18"/>
  <c r="AT18"/>
  <c r="AU18" s="1"/>
  <c r="AJ18"/>
  <c r="AK18" s="1"/>
  <c r="AX20"/>
  <c r="AT20"/>
  <c r="AU20" s="1"/>
  <c r="AJ20"/>
  <c r="AK20" s="1"/>
  <c r="AN22"/>
  <c r="AO22" s="1"/>
  <c r="AN26"/>
  <c r="AO26" s="1"/>
  <c r="AP30"/>
  <c r="AQ30" s="1"/>
  <c r="AM30"/>
  <c r="AP31"/>
  <c r="AQ31" s="1"/>
  <c r="AM31"/>
  <c r="AN31"/>
  <c r="AO31" s="1"/>
  <c r="AM32"/>
  <c r="AN32"/>
  <c r="AO32" s="1"/>
  <c r="AX32"/>
  <c r="AT32"/>
  <c r="AU32" s="1"/>
  <c r="AJ32"/>
  <c r="AK32" s="1"/>
  <c r="T160"/>
  <c r="T164" s="1"/>
  <c r="AV33"/>
  <c r="AW33" s="1"/>
  <c r="R33"/>
  <c r="U33" s="1"/>
  <c r="AS33" s="1"/>
  <c r="AJ52"/>
  <c r="AK52" s="1"/>
  <c r="AM83"/>
  <c r="AX83"/>
  <c r="AS83"/>
  <c r="AT83"/>
  <c r="AU83" s="1"/>
  <c r="AN83"/>
  <c r="AO83" s="1"/>
  <c r="AP83"/>
  <c r="AQ83" s="1"/>
  <c r="AJ83"/>
  <c r="AK83" s="1"/>
  <c r="AN9"/>
  <c r="AO9" s="1"/>
  <c r="AN12"/>
  <c r="AO12" s="1"/>
  <c r="AN14"/>
  <c r="AO14" s="1"/>
  <c r="AN16"/>
  <c r="AO16" s="1"/>
  <c r="AN18"/>
  <c r="AO18" s="1"/>
  <c r="AN20"/>
  <c r="AO20" s="1"/>
  <c r="AX22"/>
  <c r="AX26"/>
  <c r="AX30"/>
  <c r="AS31"/>
  <c r="AN23"/>
  <c r="AO23" s="1"/>
  <c r="AP35"/>
  <c r="AQ35" s="1"/>
  <c r="AM35"/>
  <c r="AN35"/>
  <c r="AO35" s="1"/>
  <c r="AP37"/>
  <c r="AQ37" s="1"/>
  <c r="AM37"/>
  <c r="AN37"/>
  <c r="AO37" s="1"/>
  <c r="AX39"/>
  <c r="AT39"/>
  <c r="AU39" s="1"/>
  <c r="AJ39"/>
  <c r="AK39" s="1"/>
  <c r="AP39"/>
  <c r="AQ39" s="1"/>
  <c r="AM39"/>
  <c r="AN39"/>
  <c r="AO39" s="1"/>
  <c r="AN41"/>
  <c r="AO41" s="1"/>
  <c r="AX41"/>
  <c r="AT41"/>
  <c r="AU41" s="1"/>
  <c r="AJ41"/>
  <c r="AK41" s="1"/>
  <c r="AP41"/>
  <c r="AQ41" s="1"/>
  <c r="AM41"/>
  <c r="AM53"/>
  <c r="AN53"/>
  <c r="AO53" s="1"/>
  <c r="AX53"/>
  <c r="AT53"/>
  <c r="AU53" s="1"/>
  <c r="AJ53"/>
  <c r="AK53" s="1"/>
  <c r="AP53"/>
  <c r="AQ53" s="1"/>
  <c r="AN68"/>
  <c r="AO68" s="1"/>
  <c r="AP68"/>
  <c r="AQ68" s="1"/>
  <c r="AJ68"/>
  <c r="AK68" s="1"/>
  <c r="AX68"/>
  <c r="AT68"/>
  <c r="AU68" s="1"/>
  <c r="AM68"/>
  <c r="AN81"/>
  <c r="AO81" s="1"/>
  <c r="AP81"/>
  <c r="AQ81" s="1"/>
  <c r="AJ81"/>
  <c r="AK81" s="1"/>
  <c r="AX81"/>
  <c r="AT81"/>
  <c r="AU81" s="1"/>
  <c r="AM81"/>
  <c r="V8"/>
  <c r="AP8"/>
  <c r="AV8"/>
  <c r="AB9"/>
  <c r="AM9"/>
  <c r="AS9"/>
  <c r="AM10"/>
  <c r="AS11"/>
  <c r="AM12"/>
  <c r="AS12"/>
  <c r="AB14"/>
  <c r="AM14"/>
  <c r="AS14"/>
  <c r="AB16"/>
  <c r="AM16"/>
  <c r="AS16"/>
  <c r="V17"/>
  <c r="AB18"/>
  <c r="AM18"/>
  <c r="AS18"/>
  <c r="V19"/>
  <c r="AB20"/>
  <c r="AM20"/>
  <c r="AS20"/>
  <c r="V21"/>
  <c r="AJ22"/>
  <c r="AK22" s="1"/>
  <c r="AP22"/>
  <c r="AQ22" s="1"/>
  <c r="AX23"/>
  <c r="AM24"/>
  <c r="AS25"/>
  <c r="AJ26"/>
  <c r="AK26" s="1"/>
  <c r="AP26"/>
  <c r="AQ26" s="1"/>
  <c r="AM28"/>
  <c r="AS28"/>
  <c r="AX28"/>
  <c r="BC29"/>
  <c r="AN30"/>
  <c r="AO30" s="1"/>
  <c r="AT31"/>
  <c r="AU31" s="1"/>
  <c r="AP32"/>
  <c r="AQ32" s="1"/>
  <c r="AX8"/>
  <c r="AT8"/>
  <c r="AJ8"/>
  <c r="AN10"/>
  <c r="AO10" s="1"/>
  <c r="AX13"/>
  <c r="AT13"/>
  <c r="AU13" s="1"/>
  <c r="AJ13"/>
  <c r="AK13" s="1"/>
  <c r="AX15"/>
  <c r="AT15"/>
  <c r="AU15" s="1"/>
  <c r="AJ15"/>
  <c r="AK15" s="1"/>
  <c r="AX17"/>
  <c r="AT17"/>
  <c r="AU17" s="1"/>
  <c r="AJ17"/>
  <c r="AK17" s="1"/>
  <c r="AX19"/>
  <c r="AT19"/>
  <c r="AU19" s="1"/>
  <c r="AJ19"/>
  <c r="AK19" s="1"/>
  <c r="AX21"/>
  <c r="AT21"/>
  <c r="AU21" s="1"/>
  <c r="AJ21"/>
  <c r="AK21" s="1"/>
  <c r="AN24"/>
  <c r="AO24" s="1"/>
  <c r="AM42"/>
  <c r="AN42"/>
  <c r="AO42" s="1"/>
  <c r="AX42"/>
  <c r="AT42"/>
  <c r="AU42" s="1"/>
  <c r="AJ42"/>
  <c r="AK42" s="1"/>
  <c r="AP42"/>
  <c r="AQ42" s="1"/>
  <c r="AM66"/>
  <c r="AP66"/>
  <c r="AQ66" s="1"/>
  <c r="AJ66"/>
  <c r="AK66" s="1"/>
  <c r="AX66"/>
  <c r="AS66"/>
  <c r="AT66"/>
  <c r="AU66" s="1"/>
  <c r="AN66"/>
  <c r="AO66" s="1"/>
  <c r="AM69"/>
  <c r="AX69"/>
  <c r="AS69"/>
  <c r="AT69"/>
  <c r="AU69" s="1"/>
  <c r="AN69"/>
  <c r="AO69" s="1"/>
  <c r="AP69"/>
  <c r="AQ69" s="1"/>
  <c r="AJ69"/>
  <c r="AK69" s="1"/>
  <c r="AV71"/>
  <c r="AW71" s="1"/>
  <c r="AS71"/>
  <c r="AN79"/>
  <c r="AO79" s="1"/>
  <c r="AT79"/>
  <c r="AU79" s="1"/>
  <c r="AM79"/>
  <c r="AP79"/>
  <c r="AQ79" s="1"/>
  <c r="AJ79"/>
  <c r="AK79" s="1"/>
  <c r="AX79"/>
  <c r="AN80"/>
  <c r="AO80" s="1"/>
  <c r="AP80"/>
  <c r="AQ80" s="1"/>
  <c r="AJ80"/>
  <c r="AK80" s="1"/>
  <c r="AX80"/>
  <c r="AT80"/>
  <c r="AU80" s="1"/>
  <c r="AM80"/>
  <c r="AF160"/>
  <c r="AF164" s="1"/>
  <c r="AN8"/>
  <c r="AX10"/>
  <c r="AN13"/>
  <c r="AO13" s="1"/>
  <c r="AN15"/>
  <c r="AO15" s="1"/>
  <c r="AN17"/>
  <c r="AO17" s="1"/>
  <c r="AN19"/>
  <c r="AO19" s="1"/>
  <c r="AN21"/>
  <c r="AO21" s="1"/>
  <c r="AS22"/>
  <c r="AJ23"/>
  <c r="AK23" s="1"/>
  <c r="AP23"/>
  <c r="AQ23" s="1"/>
  <c r="AX24"/>
  <c r="AS26"/>
  <c r="V27"/>
  <c r="Q27" s="1"/>
  <c r="AN27"/>
  <c r="AO27" s="1"/>
  <c r="BC27"/>
  <c r="AJ28"/>
  <c r="AK28" s="1"/>
  <c r="V29"/>
  <c r="AJ30"/>
  <c r="AK30" s="1"/>
  <c r="AT30"/>
  <c r="AU30" s="1"/>
  <c r="AJ35"/>
  <c r="AK35" s="1"/>
  <c r="AX35"/>
  <c r="AJ37"/>
  <c r="AK37" s="1"/>
  <c r="AX37"/>
  <c r="AS42"/>
  <c r="BD56"/>
  <c r="BC56" s="1"/>
  <c r="F56"/>
  <c r="O56" s="1"/>
  <c r="AX58"/>
  <c r="AT58"/>
  <c r="AU58" s="1"/>
  <c r="AJ58"/>
  <c r="AK58" s="1"/>
  <c r="AX60"/>
  <c r="AT60"/>
  <c r="AU60" s="1"/>
  <c r="AJ60"/>
  <c r="AK60" s="1"/>
  <c r="AX62"/>
  <c r="AT62"/>
  <c r="AU62" s="1"/>
  <c r="AJ62"/>
  <c r="AK62" s="1"/>
  <c r="AX64"/>
  <c r="AT64"/>
  <c r="AU64" s="1"/>
  <c r="AJ64"/>
  <c r="AK64" s="1"/>
  <c r="AJ67"/>
  <c r="AK67" s="1"/>
  <c r="BD71"/>
  <c r="BC71" s="1"/>
  <c r="F71"/>
  <c r="O71" s="1"/>
  <c r="AX95"/>
  <c r="AT95"/>
  <c r="AU95" s="1"/>
  <c r="AJ95"/>
  <c r="AK95" s="1"/>
  <c r="AM95"/>
  <c r="AN95"/>
  <c r="AO95" s="1"/>
  <c r="AN119"/>
  <c r="AO119" s="1"/>
  <c r="AX119"/>
  <c r="AT119"/>
  <c r="AU119" s="1"/>
  <c r="AJ119"/>
  <c r="AK119" s="1"/>
  <c r="AP119"/>
  <c r="AQ119" s="1"/>
  <c r="AM119"/>
  <c r="BG160"/>
  <c r="BG164" s="1"/>
  <c r="AV41"/>
  <c r="AW41" s="1"/>
  <c r="I160"/>
  <c r="I164" s="1"/>
  <c r="AI51"/>
  <c r="AT51" s="1"/>
  <c r="AU51" s="1"/>
  <c r="V55"/>
  <c r="W57"/>
  <c r="W160" s="1"/>
  <c r="W164" s="1"/>
  <c r="AN58"/>
  <c r="AO58" s="1"/>
  <c r="AN60"/>
  <c r="AO60" s="1"/>
  <c r="AN62"/>
  <c r="AO62" s="1"/>
  <c r="AN64"/>
  <c r="AO64" s="1"/>
  <c r="AS68"/>
  <c r="F70"/>
  <c r="O70" s="1"/>
  <c r="V70"/>
  <c r="AI70"/>
  <c r="AX70" s="1"/>
  <c r="AX71"/>
  <c r="AP73"/>
  <c r="AQ73" s="1"/>
  <c r="AM73"/>
  <c r="AS73"/>
  <c r="AX73"/>
  <c r="AB74"/>
  <c r="AM74"/>
  <c r="AS74"/>
  <c r="V75"/>
  <c r="AJ76"/>
  <c r="AK76" s="1"/>
  <c r="AP76"/>
  <c r="AQ76" s="1"/>
  <c r="F77"/>
  <c r="O77" s="1"/>
  <c r="AS81"/>
  <c r="AJ82"/>
  <c r="AK82" s="1"/>
  <c r="AP82"/>
  <c r="AQ82" s="1"/>
  <c r="BE83"/>
  <c r="BC83" s="1"/>
  <c r="AJ84"/>
  <c r="AK84" s="1"/>
  <c r="AN85"/>
  <c r="AO85" s="1"/>
  <c r="BC85"/>
  <c r="AS86"/>
  <c r="BC86"/>
  <c r="AP87"/>
  <c r="AQ87" s="1"/>
  <c r="BI87"/>
  <c r="AJ89"/>
  <c r="AK89" s="1"/>
  <c r="AT89"/>
  <c r="AU89" s="1"/>
  <c r="AB90"/>
  <c r="AN90"/>
  <c r="AO90" s="1"/>
  <c r="AB91"/>
  <c r="BI91"/>
  <c r="AS94"/>
  <c r="BC97"/>
  <c r="BC98"/>
  <c r="BC99"/>
  <c r="AB100"/>
  <c r="Q109"/>
  <c r="P109" s="1"/>
  <c r="CB109" s="1"/>
  <c r="Q115"/>
  <c r="P115" s="1"/>
  <c r="CB115" s="1"/>
  <c r="Q118"/>
  <c r="P118" s="1"/>
  <c r="CB118" s="1"/>
  <c r="AX55"/>
  <c r="AT55"/>
  <c r="AU55" s="1"/>
  <c r="AJ55"/>
  <c r="AK55" s="1"/>
  <c r="AX75"/>
  <c r="AT75"/>
  <c r="AU75" s="1"/>
  <c r="AJ75"/>
  <c r="AK75" s="1"/>
  <c r="AM86"/>
  <c r="AP86"/>
  <c r="AQ86" s="1"/>
  <c r="AX94"/>
  <c r="AT94"/>
  <c r="AU94" s="1"/>
  <c r="AJ94"/>
  <c r="AK94" s="1"/>
  <c r="AM94"/>
  <c r="AN94"/>
  <c r="AO94" s="1"/>
  <c r="AM97"/>
  <c r="AX97"/>
  <c r="AT97"/>
  <c r="AU97" s="1"/>
  <c r="AJ97"/>
  <c r="AP97"/>
  <c r="AQ97" s="1"/>
  <c r="AM98"/>
  <c r="AX98"/>
  <c r="AT98"/>
  <c r="AU98" s="1"/>
  <c r="AJ98"/>
  <c r="AP98"/>
  <c r="AQ98" s="1"/>
  <c r="AM99"/>
  <c r="AX99"/>
  <c r="AT99"/>
  <c r="AU99" s="1"/>
  <c r="AJ99"/>
  <c r="AP99"/>
  <c r="AQ99" s="1"/>
  <c r="AM123"/>
  <c r="AN123"/>
  <c r="AO123" s="1"/>
  <c r="AX123"/>
  <c r="AT123"/>
  <c r="AU123" s="1"/>
  <c r="AJ123"/>
  <c r="AK123" s="1"/>
  <c r="AP123"/>
  <c r="AQ123" s="1"/>
  <c r="AT125"/>
  <c r="AU125" s="1"/>
  <c r="AM125"/>
  <c r="AN125"/>
  <c r="AO125" s="1"/>
  <c r="AP125"/>
  <c r="AQ125" s="1"/>
  <c r="O128"/>
  <c r="AG128"/>
  <c r="AN54"/>
  <c r="AO54" s="1"/>
  <c r="AT54"/>
  <c r="AU54" s="1"/>
  <c r="AN55"/>
  <c r="AO55" s="1"/>
  <c r="AS58"/>
  <c r="AS60"/>
  <c r="AS62"/>
  <c r="AS64"/>
  <c r="AI65"/>
  <c r="AS67"/>
  <c r="AJ71"/>
  <c r="AK71" s="1"/>
  <c r="AN72"/>
  <c r="AO72" s="1"/>
  <c r="AT72"/>
  <c r="AU72" s="1"/>
  <c r="AN75"/>
  <c r="AO75" s="1"/>
  <c r="AS76"/>
  <c r="AI77"/>
  <c r="AN77" s="1"/>
  <c r="AO77" s="1"/>
  <c r="AS82"/>
  <c r="AP85"/>
  <c r="AQ85" s="1"/>
  <c r="AM85"/>
  <c r="AS85"/>
  <c r="AX85"/>
  <c r="AX86"/>
  <c r="AN87"/>
  <c r="AO87" s="1"/>
  <c r="AS89"/>
  <c r="AV90"/>
  <c r="AW90" s="1"/>
  <c r="AT57"/>
  <c r="AU57" s="1"/>
  <c r="AX59"/>
  <c r="AT59"/>
  <c r="AU59" s="1"/>
  <c r="AJ59"/>
  <c r="AK59" s="1"/>
  <c r="AX61"/>
  <c r="AT61"/>
  <c r="AU61" s="1"/>
  <c r="AJ61"/>
  <c r="AK61" s="1"/>
  <c r="AX63"/>
  <c r="AT63"/>
  <c r="AU63" s="1"/>
  <c r="AJ63"/>
  <c r="AK63" s="1"/>
  <c r="AN89"/>
  <c r="AO89" s="1"/>
  <c r="AM89"/>
  <c r="AI96"/>
  <c r="AN96" s="1"/>
  <c r="AO96" s="1"/>
  <c r="F96"/>
  <c r="O96" s="1"/>
  <c r="BD96"/>
  <c r="BC96" s="1"/>
  <c r="O51"/>
  <c r="AM54"/>
  <c r="AS54"/>
  <c r="AX54"/>
  <c r="AM55"/>
  <c r="AN59"/>
  <c r="AO59" s="1"/>
  <c r="AN61"/>
  <c r="AO61" s="1"/>
  <c r="AN63"/>
  <c r="AO63" s="1"/>
  <c r="AM72"/>
  <c r="AS72"/>
  <c r="AX72"/>
  <c r="AM75"/>
  <c r="AM76"/>
  <c r="AS79"/>
  <c r="AM82"/>
  <c r="AM87"/>
  <c r="AX89"/>
  <c r="AX74"/>
  <c r="AT74"/>
  <c r="AU74" s="1"/>
  <c r="AJ74"/>
  <c r="AK74" s="1"/>
  <c r="AN76"/>
  <c r="AO76" s="1"/>
  <c r="AN82"/>
  <c r="AO82" s="1"/>
  <c r="AN88"/>
  <c r="AO88" s="1"/>
  <c r="AM88"/>
  <c r="AM120"/>
  <c r="AN120"/>
  <c r="AO120" s="1"/>
  <c r="AX120"/>
  <c r="AT120"/>
  <c r="AU120" s="1"/>
  <c r="AJ120"/>
  <c r="AK120" s="1"/>
  <c r="AP120"/>
  <c r="AQ120" s="1"/>
  <c r="AV143"/>
  <c r="AW143" s="1"/>
  <c r="AS143"/>
  <c r="AP58"/>
  <c r="AQ58" s="1"/>
  <c r="AP60"/>
  <c r="AQ60" s="1"/>
  <c r="AP62"/>
  <c r="AQ62" s="1"/>
  <c r="AP64"/>
  <c r="AQ64" s="1"/>
  <c r="AM71"/>
  <c r="AN71"/>
  <c r="AO71" s="1"/>
  <c r="AT71"/>
  <c r="AU71" s="1"/>
  <c r="AN74"/>
  <c r="AO74" s="1"/>
  <c r="AX76"/>
  <c r="AP77"/>
  <c r="AQ77" s="1"/>
  <c r="AS78"/>
  <c r="AS80"/>
  <c r="AX82"/>
  <c r="AM84"/>
  <c r="AS84"/>
  <c r="AX84"/>
  <c r="AX88"/>
  <c r="AP90"/>
  <c r="AQ90" s="1"/>
  <c r="Q92"/>
  <c r="P92" s="1"/>
  <c r="CB92" s="1"/>
  <c r="AN97"/>
  <c r="AO97" s="1"/>
  <c r="AN98"/>
  <c r="AO98" s="1"/>
  <c r="AN99"/>
  <c r="AO99" s="1"/>
  <c r="AB101"/>
  <c r="R138"/>
  <c r="U138" s="1"/>
  <c r="AS138" s="1"/>
  <c r="R141"/>
  <c r="U141" s="1"/>
  <c r="AS141" s="1"/>
  <c r="AM144"/>
  <c r="V144"/>
  <c r="AN159"/>
  <c r="AO159" s="1"/>
  <c r="AX159"/>
  <c r="AT159"/>
  <c r="AU159" s="1"/>
  <c r="AJ159"/>
  <c r="AK159" s="1"/>
  <c r="AP159"/>
  <c r="AQ159" s="1"/>
  <c r="AM159"/>
  <c r="AJ87"/>
  <c r="AK87" s="1"/>
  <c r="AT87"/>
  <c r="AU87" s="1"/>
  <c r="AX87"/>
  <c r="AV88"/>
  <c r="AW88" s="1"/>
  <c r="AV89"/>
  <c r="AW89" s="1"/>
  <c r="AJ90"/>
  <c r="AK90" s="1"/>
  <c r="AT90"/>
  <c r="AU90" s="1"/>
  <c r="AX90"/>
  <c r="AJ91"/>
  <c r="AK91" s="1"/>
  <c r="AT91"/>
  <c r="AU91" s="1"/>
  <c r="AX91"/>
  <c r="AJ100"/>
  <c r="AK100" s="1"/>
  <c r="AT100"/>
  <c r="AU100" s="1"/>
  <c r="AX100"/>
  <c r="AJ101"/>
  <c r="AK101" s="1"/>
  <c r="AT101"/>
  <c r="AU101" s="1"/>
  <c r="AX101"/>
  <c r="AN102"/>
  <c r="AO102" s="1"/>
  <c r="AN103"/>
  <c r="AO103" s="1"/>
  <c r="AN104"/>
  <c r="AO104" s="1"/>
  <c r="AN105"/>
  <c r="AO105" s="1"/>
  <c r="AJ110"/>
  <c r="AK110" s="1"/>
  <c r="AT110"/>
  <c r="AU110" s="1"/>
  <c r="AX110"/>
  <c r="AJ111"/>
  <c r="AK111" s="1"/>
  <c r="AT111"/>
  <c r="AU111" s="1"/>
  <c r="AX111"/>
  <c r="AJ112"/>
  <c r="AK112" s="1"/>
  <c r="AT112"/>
  <c r="AU112" s="1"/>
  <c r="AX112"/>
  <c r="AV119"/>
  <c r="AW119" s="1"/>
  <c r="AN121"/>
  <c r="AO121" s="1"/>
  <c r="R124"/>
  <c r="U124" s="1"/>
  <c r="F125"/>
  <c r="AV125"/>
  <c r="AW125" s="1"/>
  <c r="O127"/>
  <c r="AI127"/>
  <c r="AS127" s="1"/>
  <c r="AI128"/>
  <c r="AS131"/>
  <c r="AJ133"/>
  <c r="AK133" s="1"/>
  <c r="AI135"/>
  <c r="AT135" s="1"/>
  <c r="AU135" s="1"/>
  <c r="AN136"/>
  <c r="AO136" s="1"/>
  <c r="AT136"/>
  <c r="AU136" s="1"/>
  <c r="AI139"/>
  <c r="R140"/>
  <c r="U140" s="1"/>
  <c r="AI142"/>
  <c r="AS142" s="1"/>
  <c r="AN144"/>
  <c r="AO144" s="1"/>
  <c r="AB145"/>
  <c r="AS159"/>
  <c r="BJ164"/>
  <c r="AX128"/>
  <c r="AI130"/>
  <c r="AP130" s="1"/>
  <c r="AQ130" s="1"/>
  <c r="F130"/>
  <c r="AM102"/>
  <c r="AM103"/>
  <c r="AM104"/>
  <c r="AM105"/>
  <c r="AG124"/>
  <c r="AV132"/>
  <c r="AW132" s="1"/>
  <c r="AP134"/>
  <c r="AQ134" s="1"/>
  <c r="AJ134"/>
  <c r="AK134" s="1"/>
  <c r="AM136"/>
  <c r="AS136"/>
  <c r="AX136"/>
  <c r="AV137"/>
  <c r="AW137" s="1"/>
  <c r="AX137"/>
  <c r="AT137"/>
  <c r="AU137" s="1"/>
  <c r="AJ137"/>
  <c r="AK137" s="1"/>
  <c r="AP143"/>
  <c r="AQ143" s="1"/>
  <c r="AM143"/>
  <c r="AX143"/>
  <c r="AT143"/>
  <c r="AU143" s="1"/>
  <c r="AJ143"/>
  <c r="AK143" s="1"/>
  <c r="AS147"/>
  <c r="AV147"/>
  <c r="AW147" s="1"/>
  <c r="AP102"/>
  <c r="AQ102" s="1"/>
  <c r="AP103"/>
  <c r="AQ103" s="1"/>
  <c r="AP104"/>
  <c r="AQ104" s="1"/>
  <c r="AP105"/>
  <c r="AQ105" s="1"/>
  <c r="AS120"/>
  <c r="AS123"/>
  <c r="Q123" s="1"/>
  <c r="P123" s="1"/>
  <c r="CB123" s="1"/>
  <c r="AS125"/>
  <c r="AP131"/>
  <c r="AQ131" s="1"/>
  <c r="AG132"/>
  <c r="AJ132" s="1"/>
  <c r="AM133"/>
  <c r="AN133"/>
  <c r="AO133" s="1"/>
  <c r="AT133"/>
  <c r="AU133" s="1"/>
  <c r="AN137"/>
  <c r="AO137" s="1"/>
  <c r="AV139"/>
  <c r="AW139" s="1"/>
  <c r="R126"/>
  <c r="U126" s="1"/>
  <c r="AS126" s="1"/>
  <c r="R129"/>
  <c r="U129" s="1"/>
  <c r="AS129" s="1"/>
  <c r="AX131"/>
  <c r="AT131"/>
  <c r="AU131" s="1"/>
  <c r="AJ131"/>
  <c r="AK131" s="1"/>
  <c r="AM158"/>
  <c r="AN158"/>
  <c r="AO158" s="1"/>
  <c r="AX158"/>
  <c r="AT158"/>
  <c r="AU158" s="1"/>
  <c r="AJ158"/>
  <c r="AK158" s="1"/>
  <c r="AP158"/>
  <c r="AQ158" s="1"/>
  <c r="AJ102"/>
  <c r="AK102" s="1"/>
  <c r="AT102"/>
  <c r="AU102" s="1"/>
  <c r="AJ103"/>
  <c r="AK103" s="1"/>
  <c r="AT103"/>
  <c r="AU103" s="1"/>
  <c r="AJ104"/>
  <c r="AK104" s="1"/>
  <c r="AT104"/>
  <c r="AU104" s="1"/>
  <c r="AJ105"/>
  <c r="AK105" s="1"/>
  <c r="AT105"/>
  <c r="AU105" s="1"/>
  <c r="AJ121"/>
  <c r="AK121" s="1"/>
  <c r="AT121"/>
  <c r="AU121" s="1"/>
  <c r="AN131"/>
  <c r="AO131" s="1"/>
  <c r="AP132"/>
  <c r="AQ132" s="1"/>
  <c r="AM132"/>
  <c r="AX132"/>
  <c r="AS133"/>
  <c r="AX133"/>
  <c r="AN134"/>
  <c r="AO134" s="1"/>
  <c r="AT134"/>
  <c r="AU134" s="1"/>
  <c r="AB137"/>
  <c r="AM137"/>
  <c r="R139"/>
  <c r="U139" s="1"/>
  <c r="AS139" s="1"/>
  <c r="BI141"/>
  <c r="AN143"/>
  <c r="AO143" s="1"/>
  <c r="AS144"/>
  <c r="AJ144"/>
  <c r="AK144" s="1"/>
  <c r="AT144"/>
  <c r="AU144" s="1"/>
  <c r="AX144"/>
  <c r="R145"/>
  <c r="U145" s="1"/>
  <c r="AS145" s="1"/>
  <c r="F146"/>
  <c r="O146" s="1"/>
  <c r="AV146"/>
  <c r="AW146" s="1"/>
  <c r="AM148"/>
  <c r="AV148"/>
  <c r="AW148" s="1"/>
  <c r="AN149"/>
  <c r="AO149" s="1"/>
  <c r="AN150"/>
  <c r="AO150" s="1"/>
  <c r="AN151"/>
  <c r="AO151" s="1"/>
  <c r="AM152"/>
  <c r="AV152"/>
  <c r="AW152" s="1"/>
  <c r="AM153"/>
  <c r="AV153"/>
  <c r="AW153" s="1"/>
  <c r="AM154"/>
  <c r="AV154"/>
  <c r="AW154" s="1"/>
  <c r="AM155"/>
  <c r="AV155"/>
  <c r="AW155" s="1"/>
  <c r="AM156"/>
  <c r="AV156"/>
  <c r="AW156" s="1"/>
  <c r="AM157"/>
  <c r="AV157"/>
  <c r="AW157" s="1"/>
  <c r="AV159"/>
  <c r="AW159" s="1"/>
  <c r="BL164"/>
  <c r="AP147"/>
  <c r="AQ147" s="1"/>
  <c r="AP148"/>
  <c r="AQ148" s="1"/>
  <c r="AP152"/>
  <c r="AQ152" s="1"/>
  <c r="AP153"/>
  <c r="AQ153" s="1"/>
  <c r="AP154"/>
  <c r="AQ154" s="1"/>
  <c r="AP155"/>
  <c r="AQ155" s="1"/>
  <c r="AP156"/>
  <c r="AQ156" s="1"/>
  <c r="AP157"/>
  <c r="AQ157" s="1"/>
  <c r="AM162"/>
  <c r="AJ147"/>
  <c r="AK147" s="1"/>
  <c r="AT147"/>
  <c r="AU147" s="1"/>
  <c r="AX147"/>
  <c r="AJ148"/>
  <c r="AK148" s="1"/>
  <c r="AT148"/>
  <c r="AU148" s="1"/>
  <c r="AX148"/>
  <c r="AP149"/>
  <c r="AQ149" s="1"/>
  <c r="AP150"/>
  <c r="AQ150" s="1"/>
  <c r="AP151"/>
  <c r="AQ151" s="1"/>
  <c r="AJ152"/>
  <c r="AK152" s="1"/>
  <c r="AT152"/>
  <c r="AU152" s="1"/>
  <c r="AX152"/>
  <c r="AJ153"/>
  <c r="AK153" s="1"/>
  <c r="AT153"/>
  <c r="AU153" s="1"/>
  <c r="AX153"/>
  <c r="AJ154"/>
  <c r="AK154" s="1"/>
  <c r="AT154"/>
  <c r="AU154" s="1"/>
  <c r="AX154"/>
  <c r="AJ155"/>
  <c r="AK155" s="1"/>
  <c r="AT155"/>
  <c r="AU155" s="1"/>
  <c r="AX155"/>
  <c r="AJ156"/>
  <c r="AK156" s="1"/>
  <c r="AT156"/>
  <c r="AU156" s="1"/>
  <c r="AX156"/>
  <c r="AJ157"/>
  <c r="AK157" s="1"/>
  <c r="AT157"/>
  <c r="AU157" s="1"/>
  <c r="AX157"/>
  <c r="AS158"/>
  <c r="Q158" s="1"/>
  <c r="P158" s="1"/>
  <c r="CB158" s="1"/>
  <c r="AJ162"/>
  <c r="R146"/>
  <c r="U146" s="1"/>
  <c r="AS146" s="1"/>
  <c r="F147"/>
  <c r="O147" s="1"/>
  <c r="AJ149"/>
  <c r="AK149" s="1"/>
  <c r="AT149"/>
  <c r="AU149" s="1"/>
  <c r="AJ150"/>
  <c r="AK150" s="1"/>
  <c r="AT150"/>
  <c r="AU150" s="1"/>
  <c r="AJ151"/>
  <c r="AK151" s="1"/>
  <c r="AT151"/>
  <c r="AU151" s="1"/>
  <c r="AN8" i="3"/>
  <c r="AX8"/>
  <c r="AT8"/>
  <c r="AJ8"/>
  <c r="AM8"/>
  <c r="AW8"/>
  <c r="AX33"/>
  <c r="AT33"/>
  <c r="AU33" s="1"/>
  <c r="AJ33"/>
  <c r="AK33" s="1"/>
  <c r="AP33"/>
  <c r="AQ33" s="1"/>
  <c r="AM33"/>
  <c r="AN33"/>
  <c r="AO33" s="1"/>
  <c r="AS33"/>
  <c r="AS9"/>
  <c r="BC10"/>
  <c r="AN9"/>
  <c r="AO9" s="1"/>
  <c r="AX9"/>
  <c r="AT9"/>
  <c r="AU9" s="1"/>
  <c r="AJ9"/>
  <c r="AK9" s="1"/>
  <c r="AM9"/>
  <c r="AC160"/>
  <c r="AC164" s="1"/>
  <c r="AB8"/>
  <c r="AQ8"/>
  <c r="AP10"/>
  <c r="AQ10" s="1"/>
  <c r="AX31"/>
  <c r="AT31"/>
  <c r="AU31" s="1"/>
  <c r="AJ31"/>
  <c r="AK31" s="1"/>
  <c r="AP31"/>
  <c r="AQ31" s="1"/>
  <c r="AS31"/>
  <c r="AN31"/>
  <c r="AO31" s="1"/>
  <c r="AM31"/>
  <c r="AN41"/>
  <c r="AO41" s="1"/>
  <c r="AT41"/>
  <c r="AU41" s="1"/>
  <c r="AM41"/>
  <c r="AP41"/>
  <c r="AQ41" s="1"/>
  <c r="AX41"/>
  <c r="AJ41"/>
  <c r="AK41" s="1"/>
  <c r="AP9"/>
  <c r="AQ9" s="1"/>
  <c r="AM42"/>
  <c r="AX52"/>
  <c r="AT52"/>
  <c r="AU52" s="1"/>
  <c r="AJ52"/>
  <c r="AK52" s="1"/>
  <c r="AN52"/>
  <c r="AO52" s="1"/>
  <c r="AI53"/>
  <c r="F53"/>
  <c r="O53" s="1"/>
  <c r="BD53"/>
  <c r="BC53" s="1"/>
  <c r="AM60"/>
  <c r="AN60"/>
  <c r="AO60" s="1"/>
  <c r="AP60"/>
  <c r="AQ60" s="1"/>
  <c r="F140"/>
  <c r="O140" s="1"/>
  <c r="AI140"/>
  <c r="AT140" s="1"/>
  <c r="AU140" s="1"/>
  <c r="AX11"/>
  <c r="AT11"/>
  <c r="AU11" s="1"/>
  <c r="AJ11"/>
  <c r="AK11" s="1"/>
  <c r="AX23"/>
  <c r="AT23"/>
  <c r="AU23" s="1"/>
  <c r="AJ23"/>
  <c r="AK23" s="1"/>
  <c r="AX25"/>
  <c r="AT25"/>
  <c r="AU25" s="1"/>
  <c r="AJ25"/>
  <c r="AK25" s="1"/>
  <c r="AX35"/>
  <c r="AT35"/>
  <c r="AU35" s="1"/>
  <c r="AJ35"/>
  <c r="AK35" s="1"/>
  <c r="AX37"/>
  <c r="AT37"/>
  <c r="AU37" s="1"/>
  <c r="AJ37"/>
  <c r="AK37" s="1"/>
  <c r="AX39"/>
  <c r="AT39"/>
  <c r="AU39" s="1"/>
  <c r="AJ39"/>
  <c r="AK39" s="1"/>
  <c r="AM59"/>
  <c r="AN59"/>
  <c r="AO59" s="1"/>
  <c r="AP59"/>
  <c r="AQ59" s="1"/>
  <c r="AM63"/>
  <c r="AN63"/>
  <c r="AO63" s="1"/>
  <c r="AP63"/>
  <c r="AQ63" s="1"/>
  <c r="AN73"/>
  <c r="AO73" s="1"/>
  <c r="AX73"/>
  <c r="AT73"/>
  <c r="AU73" s="1"/>
  <c r="AJ73"/>
  <c r="AK73" s="1"/>
  <c r="AM73"/>
  <c r="AM76"/>
  <c r="V76"/>
  <c r="AP103"/>
  <c r="AQ103" s="1"/>
  <c r="AM103"/>
  <c r="AX103"/>
  <c r="AT103"/>
  <c r="AU103" s="1"/>
  <c r="AJ103"/>
  <c r="AK103" s="1"/>
  <c r="AN103"/>
  <c r="AO103" s="1"/>
  <c r="AV103"/>
  <c r="AW103" s="1"/>
  <c r="AS103"/>
  <c r="AM111"/>
  <c r="AN111"/>
  <c r="AO111" s="1"/>
  <c r="AP111"/>
  <c r="AQ111" s="1"/>
  <c r="AJ111"/>
  <c r="AK111" s="1"/>
  <c r="AX111"/>
  <c r="AV121"/>
  <c r="AW121" s="1"/>
  <c r="AS121"/>
  <c r="AV24"/>
  <c r="AW24" s="1"/>
  <c r="AV26"/>
  <c r="AW26" s="1"/>
  <c r="AN28"/>
  <c r="AO28" s="1"/>
  <c r="AP34"/>
  <c r="AQ34" s="1"/>
  <c r="AP42"/>
  <c r="AQ42" s="1"/>
  <c r="AT47"/>
  <c r="AU47" s="1"/>
  <c r="AV51"/>
  <c r="AW51" s="1"/>
  <c r="AB56"/>
  <c r="AT60"/>
  <c r="AU60" s="1"/>
  <c r="AF160"/>
  <c r="AF164" s="1"/>
  <c r="AV9"/>
  <c r="AW9" s="1"/>
  <c r="AN11"/>
  <c r="AO11" s="1"/>
  <c r="AM12"/>
  <c r="Q12" s="1"/>
  <c r="AS12"/>
  <c r="AX12"/>
  <c r="AP14"/>
  <c r="AQ14" s="1"/>
  <c r="AM14"/>
  <c r="AS14"/>
  <c r="AX14"/>
  <c r="AP16"/>
  <c r="AQ16" s="1"/>
  <c r="AM16"/>
  <c r="AS16"/>
  <c r="AX16"/>
  <c r="AP18"/>
  <c r="AQ18" s="1"/>
  <c r="AM18"/>
  <c r="AS18"/>
  <c r="AX18"/>
  <c r="AP20"/>
  <c r="AQ20" s="1"/>
  <c r="AM20"/>
  <c r="AS20"/>
  <c r="AX20"/>
  <c r="AN23"/>
  <c r="AO23" s="1"/>
  <c r="AN25"/>
  <c r="AO25" s="1"/>
  <c r="AS27"/>
  <c r="AK29"/>
  <c r="AS29"/>
  <c r="AJ30"/>
  <c r="AK30" s="1"/>
  <c r="AP30"/>
  <c r="AQ30" s="1"/>
  <c r="AM32"/>
  <c r="Q32" s="1"/>
  <c r="AS32"/>
  <c r="AX32"/>
  <c r="AN35"/>
  <c r="AO35" s="1"/>
  <c r="AN37"/>
  <c r="AO37" s="1"/>
  <c r="AN39"/>
  <c r="AO39" s="1"/>
  <c r="AS42"/>
  <c r="AX42"/>
  <c r="AS44"/>
  <c r="Q44" s="1"/>
  <c r="P44" s="1"/>
  <c r="CB44" s="1"/>
  <c r="CF44" s="1"/>
  <c r="AX44"/>
  <c r="AS46"/>
  <c r="Q46" s="1"/>
  <c r="P46" s="1"/>
  <c r="CB46" s="1"/>
  <c r="CF46" s="1"/>
  <c r="AX46"/>
  <c r="AS48"/>
  <c r="Q48" s="1"/>
  <c r="P48" s="1"/>
  <c r="CB48" s="1"/>
  <c r="CF48" s="1"/>
  <c r="AX48"/>
  <c r="AS50"/>
  <c r="Q50" s="1"/>
  <c r="P50" s="1"/>
  <c r="CB50" s="1"/>
  <c r="CF50" s="1"/>
  <c r="AX50"/>
  <c r="I160"/>
  <c r="I164" s="1"/>
  <c r="BC55"/>
  <c r="AJ55"/>
  <c r="AK55" s="1"/>
  <c r="AS56"/>
  <c r="AX56"/>
  <c r="AT59"/>
  <c r="AU59" s="1"/>
  <c r="AX60"/>
  <c r="AT63"/>
  <c r="AU63" s="1"/>
  <c r="AB71"/>
  <c r="Q71" s="1"/>
  <c r="P71" s="1"/>
  <c r="CB71" s="1"/>
  <c r="CF71" s="1"/>
  <c r="AV71"/>
  <c r="AW71" s="1"/>
  <c r="AS73"/>
  <c r="O74"/>
  <c r="AN76"/>
  <c r="AO76" s="1"/>
  <c r="AP79"/>
  <c r="AQ79" s="1"/>
  <c r="BC79"/>
  <c r="AP80"/>
  <c r="AQ80" s="1"/>
  <c r="BC80"/>
  <c r="AP81"/>
  <c r="AQ81" s="1"/>
  <c r="BC81"/>
  <c r="AP82"/>
  <c r="AQ82" s="1"/>
  <c r="BC82"/>
  <c r="AX83"/>
  <c r="AS83"/>
  <c r="AN104"/>
  <c r="AO104" s="1"/>
  <c r="AS77"/>
  <c r="AV77"/>
  <c r="AW77" s="1"/>
  <c r="AN148"/>
  <c r="AO148" s="1"/>
  <c r="AX148"/>
  <c r="AT148"/>
  <c r="AU148" s="1"/>
  <c r="AJ148"/>
  <c r="AK148" s="1"/>
  <c r="AP148"/>
  <c r="AQ148" s="1"/>
  <c r="AM148"/>
  <c r="AX10"/>
  <c r="AT10"/>
  <c r="AU10" s="1"/>
  <c r="AJ10"/>
  <c r="AK10" s="1"/>
  <c r="AX22"/>
  <c r="AT22"/>
  <c r="AU22" s="1"/>
  <c r="AJ22"/>
  <c r="AK22" s="1"/>
  <c r="AX24"/>
  <c r="AT24"/>
  <c r="AU24" s="1"/>
  <c r="AJ24"/>
  <c r="AK24" s="1"/>
  <c r="AX26"/>
  <c r="AT26"/>
  <c r="AU26" s="1"/>
  <c r="AJ26"/>
  <c r="AK26" s="1"/>
  <c r="AX34"/>
  <c r="AT34"/>
  <c r="AU34" s="1"/>
  <c r="AJ34"/>
  <c r="AK34" s="1"/>
  <c r="AX36"/>
  <c r="AT36"/>
  <c r="AU36" s="1"/>
  <c r="AJ36"/>
  <c r="AK36" s="1"/>
  <c r="AX38"/>
  <c r="AT38"/>
  <c r="AU38" s="1"/>
  <c r="AJ38"/>
  <c r="AK38" s="1"/>
  <c r="AX40"/>
  <c r="AT40"/>
  <c r="AU40" s="1"/>
  <c r="AJ40"/>
  <c r="AK40" s="1"/>
  <c r="AX51"/>
  <c r="AT51"/>
  <c r="AU51" s="1"/>
  <c r="AJ51"/>
  <c r="AK51" s="1"/>
  <c r="AM55"/>
  <c r="AP55"/>
  <c r="AQ55" s="1"/>
  <c r="AM61"/>
  <c r="AN61"/>
  <c r="AO61" s="1"/>
  <c r="AP61"/>
  <c r="AQ61" s="1"/>
  <c r="AM68"/>
  <c r="V68"/>
  <c r="AM74"/>
  <c r="AN74"/>
  <c r="AO74" s="1"/>
  <c r="AP74"/>
  <c r="AQ74" s="1"/>
  <c r="V78"/>
  <c r="AN84"/>
  <c r="AO84" s="1"/>
  <c r="AP84"/>
  <c r="AQ84" s="1"/>
  <c r="AJ84"/>
  <c r="AK84" s="1"/>
  <c r="AT84"/>
  <c r="AU84" s="1"/>
  <c r="AM84"/>
  <c r="O129"/>
  <c r="AG129"/>
  <c r="AP22"/>
  <c r="AQ22" s="1"/>
  <c r="AP26"/>
  <c r="AQ26" s="1"/>
  <c r="AT28"/>
  <c r="AU28" s="1"/>
  <c r="AS30"/>
  <c r="AV34"/>
  <c r="AW34" s="1"/>
  <c r="AP36"/>
  <c r="AQ36" s="1"/>
  <c r="AV38"/>
  <c r="AW38" s="1"/>
  <c r="AP40"/>
  <c r="AQ40" s="1"/>
  <c r="AT43"/>
  <c r="AU43" s="1"/>
  <c r="AT49"/>
  <c r="AU49" s="1"/>
  <c r="AS55"/>
  <c r="AM65"/>
  <c r="AN10"/>
  <c r="AO10" s="1"/>
  <c r="AM13"/>
  <c r="AS13"/>
  <c r="AX13"/>
  <c r="AM15"/>
  <c r="AS15"/>
  <c r="AX15"/>
  <c r="AM17"/>
  <c r="AS17"/>
  <c r="AX17"/>
  <c r="AM19"/>
  <c r="AS19"/>
  <c r="AX19"/>
  <c r="AM21"/>
  <c r="AS21"/>
  <c r="AX21"/>
  <c r="AN22"/>
  <c r="AO22" s="1"/>
  <c r="AN24"/>
  <c r="AO24" s="1"/>
  <c r="AN26"/>
  <c r="AO26" s="1"/>
  <c r="AS28"/>
  <c r="AX28"/>
  <c r="AM30"/>
  <c r="AT30"/>
  <c r="AU30" s="1"/>
  <c r="AN34"/>
  <c r="AO34" s="1"/>
  <c r="AN36"/>
  <c r="AO36" s="1"/>
  <c r="AN38"/>
  <c r="AO38" s="1"/>
  <c r="AN40"/>
  <c r="AO40" s="1"/>
  <c r="AS41"/>
  <c r="AS43"/>
  <c r="AX43"/>
  <c r="AS45"/>
  <c r="AX45"/>
  <c r="AS47"/>
  <c r="AX47"/>
  <c r="AS49"/>
  <c r="AX49"/>
  <c r="AN51"/>
  <c r="AO51" s="1"/>
  <c r="AB52"/>
  <c r="AP52"/>
  <c r="AQ52" s="1"/>
  <c r="AS54"/>
  <c r="AX55"/>
  <c r="AT61"/>
  <c r="AU61" s="1"/>
  <c r="AX65"/>
  <c r="AN68"/>
  <c r="AO68" s="1"/>
  <c r="AX71"/>
  <c r="AT74"/>
  <c r="AU74" s="1"/>
  <c r="AB83"/>
  <c r="AX84"/>
  <c r="AM64"/>
  <c r="AN64"/>
  <c r="AO64" s="1"/>
  <c r="AP64"/>
  <c r="AQ64" s="1"/>
  <c r="AN77"/>
  <c r="AO77" s="1"/>
  <c r="AX77"/>
  <c r="AT77"/>
  <c r="AU77" s="1"/>
  <c r="AJ77"/>
  <c r="AK77" s="1"/>
  <c r="AM77"/>
  <c r="AN154"/>
  <c r="AO154" s="1"/>
  <c r="AX154"/>
  <c r="AT154"/>
  <c r="AU154" s="1"/>
  <c r="AJ154"/>
  <c r="AK154" s="1"/>
  <c r="AP154"/>
  <c r="AQ154" s="1"/>
  <c r="AM154"/>
  <c r="AN54"/>
  <c r="AO54" s="1"/>
  <c r="AM54"/>
  <c r="G160"/>
  <c r="G164" s="1"/>
  <c r="BD57"/>
  <c r="BC57" s="1"/>
  <c r="F57"/>
  <c r="O57" s="1"/>
  <c r="AM58"/>
  <c r="AN58"/>
  <c r="AO58" s="1"/>
  <c r="AP58"/>
  <c r="AQ58" s="1"/>
  <c r="AM62"/>
  <c r="AN62"/>
  <c r="AO62" s="1"/>
  <c r="AP62"/>
  <c r="AQ62" s="1"/>
  <c r="AN72"/>
  <c r="AO72" s="1"/>
  <c r="AX72"/>
  <c r="AT72"/>
  <c r="AU72" s="1"/>
  <c r="AJ72"/>
  <c r="AK72" s="1"/>
  <c r="AM72"/>
  <c r="AM75"/>
  <c r="AN75"/>
  <c r="AO75" s="1"/>
  <c r="AP75"/>
  <c r="AQ75" s="1"/>
  <c r="BD78"/>
  <c r="BC78" s="1"/>
  <c r="F78"/>
  <c r="O78" s="1"/>
  <c r="AM79"/>
  <c r="V79"/>
  <c r="AM80"/>
  <c r="V80"/>
  <c r="AM81"/>
  <c r="V81"/>
  <c r="AM82"/>
  <c r="V82"/>
  <c r="AP83"/>
  <c r="AQ83" s="1"/>
  <c r="V83"/>
  <c r="AM90"/>
  <c r="AN90"/>
  <c r="AO90" s="1"/>
  <c r="AP90"/>
  <c r="AQ90" s="1"/>
  <c r="AJ90"/>
  <c r="AK90" s="1"/>
  <c r="AX90"/>
  <c r="AP94"/>
  <c r="AQ94" s="1"/>
  <c r="AM94"/>
  <c r="AX94"/>
  <c r="AT94"/>
  <c r="AU94" s="1"/>
  <c r="AJ94"/>
  <c r="AK94" s="1"/>
  <c r="AN94"/>
  <c r="AO94" s="1"/>
  <c r="AV94"/>
  <c r="AW94" s="1"/>
  <c r="AS94"/>
  <c r="V134"/>
  <c r="AX136"/>
  <c r="AT136"/>
  <c r="AU136" s="1"/>
  <c r="AJ136"/>
  <c r="AK136" s="1"/>
  <c r="AP136"/>
  <c r="AQ136" s="1"/>
  <c r="AM136"/>
  <c r="AN136"/>
  <c r="AO136" s="1"/>
  <c r="AV22"/>
  <c r="AW22" s="1"/>
  <c r="AP24"/>
  <c r="AQ24" s="1"/>
  <c r="AV36"/>
  <c r="AW36" s="1"/>
  <c r="AP38"/>
  <c r="AQ38" s="1"/>
  <c r="AV40"/>
  <c r="AW40" s="1"/>
  <c r="AJ42"/>
  <c r="AK42" s="1"/>
  <c r="AN43"/>
  <c r="AO43" s="1"/>
  <c r="AN45"/>
  <c r="AO45" s="1"/>
  <c r="AT45"/>
  <c r="AU45" s="1"/>
  <c r="AN47"/>
  <c r="AO47" s="1"/>
  <c r="AN49"/>
  <c r="AO49" s="1"/>
  <c r="AP51"/>
  <c r="AQ51" s="1"/>
  <c r="AT64"/>
  <c r="AU64" s="1"/>
  <c r="AS8"/>
  <c r="AB10"/>
  <c r="AM10"/>
  <c r="V11"/>
  <c r="Q11" s="1"/>
  <c r="P11" s="1"/>
  <c r="CB11" s="1"/>
  <c r="CF11" s="1"/>
  <c r="AN12"/>
  <c r="AO12" s="1"/>
  <c r="AT12"/>
  <c r="AU12" s="1"/>
  <c r="BC12"/>
  <c r="AJ13"/>
  <c r="AK13" s="1"/>
  <c r="V14"/>
  <c r="AN14"/>
  <c r="AO14" s="1"/>
  <c r="BC14"/>
  <c r="AJ15"/>
  <c r="AK15" s="1"/>
  <c r="V16"/>
  <c r="Q16" s="1"/>
  <c r="AN16"/>
  <c r="AO16" s="1"/>
  <c r="BC16"/>
  <c r="AJ17"/>
  <c r="AK17" s="1"/>
  <c r="V18"/>
  <c r="Q18" s="1"/>
  <c r="AN18"/>
  <c r="AO18" s="1"/>
  <c r="BC18"/>
  <c r="AJ19"/>
  <c r="AK19" s="1"/>
  <c r="V20"/>
  <c r="AN20"/>
  <c r="AO20" s="1"/>
  <c r="BC20"/>
  <c r="AJ21"/>
  <c r="AK21" s="1"/>
  <c r="AB22"/>
  <c r="AM22"/>
  <c r="Q22" s="1"/>
  <c r="P22" s="1"/>
  <c r="CB22" s="1"/>
  <c r="CF22" s="1"/>
  <c r="V23"/>
  <c r="AB24"/>
  <c r="Q24" s="1"/>
  <c r="P24" s="1"/>
  <c r="CB24" s="1"/>
  <c r="CF24" s="1"/>
  <c r="AM24"/>
  <c r="V25"/>
  <c r="Q25" s="1"/>
  <c r="P25" s="1"/>
  <c r="CB25" s="1"/>
  <c r="CF25" s="1"/>
  <c r="AB26"/>
  <c r="AM26"/>
  <c r="AM27"/>
  <c r="Q27" s="1"/>
  <c r="P27" s="1"/>
  <c r="CB27" s="1"/>
  <c r="CF27" s="1"/>
  <c r="AN27"/>
  <c r="AO27" s="1"/>
  <c r="AT27"/>
  <c r="AU27" s="1"/>
  <c r="Q28"/>
  <c r="P28" s="1"/>
  <c r="CB28" s="1"/>
  <c r="CF28" s="1"/>
  <c r="AJ28"/>
  <c r="AK28" s="1"/>
  <c r="AP28"/>
  <c r="AQ28" s="1"/>
  <c r="AM29"/>
  <c r="Q29" s="1"/>
  <c r="P29" s="1"/>
  <c r="CB29" s="1"/>
  <c r="CF29" s="1"/>
  <c r="AN29"/>
  <c r="AO29" s="1"/>
  <c r="AT29"/>
  <c r="AU29" s="1"/>
  <c r="Q30"/>
  <c r="P30" s="1"/>
  <c r="CB30" s="1"/>
  <c r="CF30" s="1"/>
  <c r="AX30"/>
  <c r="AN32"/>
  <c r="AO32" s="1"/>
  <c r="AT32"/>
  <c r="AU32" s="1"/>
  <c r="BC32"/>
  <c r="AB34"/>
  <c r="AM34"/>
  <c r="V35"/>
  <c r="AB36"/>
  <c r="Q36" s="1"/>
  <c r="P36" s="1"/>
  <c r="CB36" s="1"/>
  <c r="CF36" s="1"/>
  <c r="AM36"/>
  <c r="V37"/>
  <c r="Q37" s="1"/>
  <c r="P37" s="1"/>
  <c r="CB37" s="1"/>
  <c r="CF37" s="1"/>
  <c r="AM38"/>
  <c r="AM40"/>
  <c r="AN42"/>
  <c r="AO42" s="1"/>
  <c r="AT42"/>
  <c r="AU42" s="1"/>
  <c r="AJ43"/>
  <c r="AK43" s="1"/>
  <c r="AP43"/>
  <c r="AQ43" s="1"/>
  <c r="AN44"/>
  <c r="AO44" s="1"/>
  <c r="AT44"/>
  <c r="AU44" s="1"/>
  <c r="AJ45"/>
  <c r="AK45" s="1"/>
  <c r="AP45"/>
  <c r="AQ45" s="1"/>
  <c r="AN46"/>
  <c r="AO46" s="1"/>
  <c r="AT46"/>
  <c r="AU46" s="1"/>
  <c r="Q47"/>
  <c r="P47" s="1"/>
  <c r="CB47" s="1"/>
  <c r="CF47" s="1"/>
  <c r="AJ47"/>
  <c r="AK47" s="1"/>
  <c r="AP47"/>
  <c r="AQ47" s="1"/>
  <c r="AN48"/>
  <c r="AO48" s="1"/>
  <c r="AT48"/>
  <c r="AU48" s="1"/>
  <c r="AJ49"/>
  <c r="AK49" s="1"/>
  <c r="AP49"/>
  <c r="AQ49" s="1"/>
  <c r="AN50"/>
  <c r="AO50" s="1"/>
  <c r="AT50"/>
  <c r="AU50" s="1"/>
  <c r="AM51"/>
  <c r="AM52"/>
  <c r="AV52"/>
  <c r="AW52" s="1"/>
  <c r="AX54"/>
  <c r="AN55"/>
  <c r="AO55" s="1"/>
  <c r="W57"/>
  <c r="AX57" s="1"/>
  <c r="AT58"/>
  <c r="AU58" s="1"/>
  <c r="AJ60"/>
  <c r="AK60" s="1"/>
  <c r="AT62"/>
  <c r="AU62" s="1"/>
  <c r="AJ64"/>
  <c r="AK64" s="1"/>
  <c r="AV65"/>
  <c r="AW65" s="1"/>
  <c r="AS72"/>
  <c r="AT75"/>
  <c r="AU75" s="1"/>
  <c r="AS76"/>
  <c r="AP78"/>
  <c r="AQ78" s="1"/>
  <c r="AI78"/>
  <c r="AX78" s="1"/>
  <c r="AN79"/>
  <c r="AO79" s="1"/>
  <c r="AN80"/>
  <c r="AO80" s="1"/>
  <c r="AN81"/>
  <c r="AO81" s="1"/>
  <c r="AN82"/>
  <c r="AO82" s="1"/>
  <c r="AM83"/>
  <c r="AN95"/>
  <c r="AO95" s="1"/>
  <c r="P116"/>
  <c r="CB116" s="1"/>
  <c r="CF116" s="1"/>
  <c r="AN124"/>
  <c r="AO124" s="1"/>
  <c r="AN97"/>
  <c r="AO97" s="1"/>
  <c r="AX97"/>
  <c r="AT97"/>
  <c r="AU97" s="1"/>
  <c r="AJ97"/>
  <c r="AK97" s="1"/>
  <c r="AM97"/>
  <c r="Q97" s="1"/>
  <c r="P97" s="1"/>
  <c r="CB97" s="1"/>
  <c r="CF97" s="1"/>
  <c r="BD100"/>
  <c r="BC100" s="1"/>
  <c r="AI100"/>
  <c r="AT100" s="1"/>
  <c r="AU100" s="1"/>
  <c r="F100"/>
  <c r="O100" s="1"/>
  <c r="AP102"/>
  <c r="AQ102" s="1"/>
  <c r="AM102"/>
  <c r="AX102"/>
  <c r="AT102"/>
  <c r="AU102" s="1"/>
  <c r="AJ102"/>
  <c r="AM110"/>
  <c r="AN110"/>
  <c r="AO110" s="1"/>
  <c r="AP110"/>
  <c r="AQ110" s="1"/>
  <c r="AJ122"/>
  <c r="AK122" s="1"/>
  <c r="AX122"/>
  <c r="AG124"/>
  <c r="O124"/>
  <c r="O126"/>
  <c r="AG126"/>
  <c r="AN135"/>
  <c r="AO135" s="1"/>
  <c r="AX135"/>
  <c r="AT135"/>
  <c r="AU135" s="1"/>
  <c r="AJ135"/>
  <c r="AK135" s="1"/>
  <c r="AM135"/>
  <c r="AP135"/>
  <c r="AQ135" s="1"/>
  <c r="AV144"/>
  <c r="AW144" s="1"/>
  <c r="AS144"/>
  <c r="N160"/>
  <c r="N164" s="1"/>
  <c r="F52"/>
  <c r="O52" s="1"/>
  <c r="AV54"/>
  <c r="AW54" s="1"/>
  <c r="AN56"/>
  <c r="AO56" s="1"/>
  <c r="F65"/>
  <c r="O65" s="1"/>
  <c r="AN65"/>
  <c r="AO65" s="1"/>
  <c r="AN66"/>
  <c r="AO66" s="1"/>
  <c r="AJ68"/>
  <c r="AK68" s="1"/>
  <c r="AT68"/>
  <c r="AU68" s="1"/>
  <c r="AX68"/>
  <c r="AN69"/>
  <c r="AO69" s="1"/>
  <c r="AN71"/>
  <c r="AO71" s="1"/>
  <c r="AV72"/>
  <c r="AW72" s="1"/>
  <c r="AV73"/>
  <c r="AW73" s="1"/>
  <c r="AJ76"/>
  <c r="AK76" s="1"/>
  <c r="AT76"/>
  <c r="AU76" s="1"/>
  <c r="AX76"/>
  <c r="F77"/>
  <c r="O77" s="1"/>
  <c r="BD77"/>
  <c r="BC77" s="1"/>
  <c r="AJ78"/>
  <c r="AK78" s="1"/>
  <c r="AJ79"/>
  <c r="AK79" s="1"/>
  <c r="AT79"/>
  <c r="AU79" s="1"/>
  <c r="AX79"/>
  <c r="AJ80"/>
  <c r="AK80" s="1"/>
  <c r="AT80"/>
  <c r="AU80" s="1"/>
  <c r="AX80"/>
  <c r="AJ81"/>
  <c r="AK81" s="1"/>
  <c r="AT81"/>
  <c r="AU81" s="1"/>
  <c r="AX81"/>
  <c r="AJ82"/>
  <c r="AK82" s="1"/>
  <c r="AT82"/>
  <c r="AU82" s="1"/>
  <c r="AX82"/>
  <c r="AN83"/>
  <c r="AO83" s="1"/>
  <c r="BE83"/>
  <c r="BC83" s="1"/>
  <c r="AS85"/>
  <c r="AJ86"/>
  <c r="AK86" s="1"/>
  <c r="AS87"/>
  <c r="BC93"/>
  <c r="AS95"/>
  <c r="BC102"/>
  <c r="AS104"/>
  <c r="AT110"/>
  <c r="AU110" s="1"/>
  <c r="Q115"/>
  <c r="Q118"/>
  <c r="P118" s="1"/>
  <c r="CB118" s="1"/>
  <c r="CF118" s="1"/>
  <c r="AS124"/>
  <c r="AN85"/>
  <c r="AO85" s="1"/>
  <c r="AM91"/>
  <c r="AN91"/>
  <c r="AO91" s="1"/>
  <c r="AP91"/>
  <c r="AQ91" s="1"/>
  <c r="AP95"/>
  <c r="AQ95" s="1"/>
  <c r="AM95"/>
  <c r="AX95"/>
  <c r="AT95"/>
  <c r="AU95" s="1"/>
  <c r="AJ95"/>
  <c r="AK95" s="1"/>
  <c r="AN99"/>
  <c r="AO99" s="1"/>
  <c r="AX99"/>
  <c r="AT99"/>
  <c r="AU99" s="1"/>
  <c r="AJ99"/>
  <c r="AK99" s="1"/>
  <c r="AM99"/>
  <c r="AM101"/>
  <c r="AN101"/>
  <c r="AO101" s="1"/>
  <c r="AP101"/>
  <c r="AQ101" s="1"/>
  <c r="AP104"/>
  <c r="AQ104" s="1"/>
  <c r="AM104"/>
  <c r="AX104"/>
  <c r="AT104"/>
  <c r="AU104" s="1"/>
  <c r="AJ104"/>
  <c r="AK104" s="1"/>
  <c r="AM112"/>
  <c r="Q112" s="1"/>
  <c r="P112" s="1"/>
  <c r="CB112" s="1"/>
  <c r="CF112" s="1"/>
  <c r="AN112"/>
  <c r="AO112" s="1"/>
  <c r="AP112"/>
  <c r="AQ112" s="1"/>
  <c r="AN120"/>
  <c r="AO120" s="1"/>
  <c r="AX120"/>
  <c r="AT120"/>
  <c r="AU120" s="1"/>
  <c r="AJ120"/>
  <c r="AK120" s="1"/>
  <c r="AM120"/>
  <c r="AP121"/>
  <c r="AQ121" s="1"/>
  <c r="AM121"/>
  <c r="AX121"/>
  <c r="AT121"/>
  <c r="AU121" s="1"/>
  <c r="AJ121"/>
  <c r="AK121" s="1"/>
  <c r="AN123"/>
  <c r="AO123" s="1"/>
  <c r="AX123"/>
  <c r="AT123"/>
  <c r="AU123" s="1"/>
  <c r="AJ123"/>
  <c r="AK123" s="1"/>
  <c r="AM123"/>
  <c r="AM133"/>
  <c r="AT133"/>
  <c r="AU133" s="1"/>
  <c r="AN133"/>
  <c r="AO133" s="1"/>
  <c r="AX133"/>
  <c r="R139"/>
  <c r="U139" s="1"/>
  <c r="AS139" s="1"/>
  <c r="AV139"/>
  <c r="AW139" s="1"/>
  <c r="AS58"/>
  <c r="AS59"/>
  <c r="AS60"/>
  <c r="AS61"/>
  <c r="Q61" s="1"/>
  <c r="P61" s="1"/>
  <c r="CB61" s="1"/>
  <c r="CF61" s="1"/>
  <c r="AS62"/>
  <c r="AS63"/>
  <c r="AS64"/>
  <c r="AP65"/>
  <c r="AQ65" s="1"/>
  <c r="AP66"/>
  <c r="AQ66" s="1"/>
  <c r="AI67"/>
  <c r="AN67" s="1"/>
  <c r="AO67" s="1"/>
  <c r="AP69"/>
  <c r="AQ69" s="1"/>
  <c r="AI70"/>
  <c r="AP70" s="1"/>
  <c r="AQ70" s="1"/>
  <c r="AP71"/>
  <c r="AQ71" s="1"/>
  <c r="AS74"/>
  <c r="AS75"/>
  <c r="AX85"/>
  <c r="BC87"/>
  <c r="AB88"/>
  <c r="AT91"/>
  <c r="AU91" s="1"/>
  <c r="Q93"/>
  <c r="P93" s="1"/>
  <c r="CB93" s="1"/>
  <c r="CF93" s="1"/>
  <c r="BC95"/>
  <c r="AT101"/>
  <c r="AU101" s="1"/>
  <c r="BC104"/>
  <c r="AN105"/>
  <c r="AO105" s="1"/>
  <c r="BC107"/>
  <c r="Q109"/>
  <c r="P109" s="1"/>
  <c r="CB109" s="1"/>
  <c r="CF109" s="1"/>
  <c r="AT112"/>
  <c r="AU112" s="1"/>
  <c r="BC115"/>
  <c r="AN86"/>
  <c r="AO86" s="1"/>
  <c r="BW160"/>
  <c r="BW164" s="1"/>
  <c r="BI87"/>
  <c r="BI160" s="1"/>
  <c r="BI164" s="1"/>
  <c r="AN98"/>
  <c r="AO98" s="1"/>
  <c r="AX98"/>
  <c r="AT98"/>
  <c r="AU98" s="1"/>
  <c r="AJ98"/>
  <c r="AK98" s="1"/>
  <c r="AM98"/>
  <c r="AM100"/>
  <c r="AN100"/>
  <c r="AO100" s="1"/>
  <c r="AP105"/>
  <c r="AQ105" s="1"/>
  <c r="AM105"/>
  <c r="AX105"/>
  <c r="AT105"/>
  <c r="AU105" s="1"/>
  <c r="AJ105"/>
  <c r="AK105" s="1"/>
  <c r="AP124"/>
  <c r="AQ124" s="1"/>
  <c r="AM124"/>
  <c r="AX124"/>
  <c r="AT124"/>
  <c r="AU124" s="1"/>
  <c r="AJ124"/>
  <c r="AK124" s="1"/>
  <c r="O125"/>
  <c r="AG125"/>
  <c r="AX125" s="1"/>
  <c r="AJ56"/>
  <c r="AK56" s="1"/>
  <c r="AT56"/>
  <c r="AU56" s="1"/>
  <c r="AJ65"/>
  <c r="AK65" s="1"/>
  <c r="AT65"/>
  <c r="AU65" s="1"/>
  <c r="AJ66"/>
  <c r="AK66" s="1"/>
  <c r="AT66"/>
  <c r="AU66" s="1"/>
  <c r="F67"/>
  <c r="O67" s="1"/>
  <c r="AJ69"/>
  <c r="AK69" s="1"/>
  <c r="AT69"/>
  <c r="AU69" s="1"/>
  <c r="F70"/>
  <c r="O70" s="1"/>
  <c r="AJ71"/>
  <c r="AK71" s="1"/>
  <c r="AT71"/>
  <c r="AU71" s="1"/>
  <c r="AJ83"/>
  <c r="AK83" s="1"/>
  <c r="AT83"/>
  <c r="AU83" s="1"/>
  <c r="AS84"/>
  <c r="AJ85"/>
  <c r="AK85" s="1"/>
  <c r="AP85"/>
  <c r="AQ85" s="1"/>
  <c r="AX86"/>
  <c r="Q86" s="1"/>
  <c r="P86" s="1"/>
  <c r="CB86" s="1"/>
  <c r="CF86" s="1"/>
  <c r="AM87"/>
  <c r="AN87"/>
  <c r="AO87" s="1"/>
  <c r="AT87"/>
  <c r="AU87" s="1"/>
  <c r="AP99"/>
  <c r="AQ99" s="1"/>
  <c r="AX100"/>
  <c r="AN102"/>
  <c r="AO102" s="1"/>
  <c r="BC105"/>
  <c r="P107"/>
  <c r="CB107" s="1"/>
  <c r="CF107" s="1"/>
  <c r="Q113"/>
  <c r="P113" s="1"/>
  <c r="CB113" s="1"/>
  <c r="CF113" s="1"/>
  <c r="AB119"/>
  <c r="AP120"/>
  <c r="AQ120" s="1"/>
  <c r="AP123"/>
  <c r="AQ123" s="1"/>
  <c r="AS125"/>
  <c r="AP133"/>
  <c r="AQ133" s="1"/>
  <c r="AN142"/>
  <c r="AO142" s="1"/>
  <c r="AS126"/>
  <c r="R126"/>
  <c r="U126" s="1"/>
  <c r="R129"/>
  <c r="U129" s="1"/>
  <c r="AS129" s="1"/>
  <c r="AX131"/>
  <c r="AT131"/>
  <c r="AU131" s="1"/>
  <c r="AJ131"/>
  <c r="AK131" s="1"/>
  <c r="AJ134"/>
  <c r="AK134" s="1"/>
  <c r="AM140"/>
  <c r="AJ140"/>
  <c r="AK140" s="1"/>
  <c r="AN153"/>
  <c r="AO153" s="1"/>
  <c r="AX153"/>
  <c r="AT153"/>
  <c r="AU153" s="1"/>
  <c r="AJ153"/>
  <c r="AK153" s="1"/>
  <c r="AP153"/>
  <c r="AQ153" s="1"/>
  <c r="AM153"/>
  <c r="AN157"/>
  <c r="AO157" s="1"/>
  <c r="AX157"/>
  <c r="AT157"/>
  <c r="AU157" s="1"/>
  <c r="AJ157"/>
  <c r="AK157" s="1"/>
  <c r="AP157"/>
  <c r="AQ157" s="1"/>
  <c r="AM157"/>
  <c r="AM158"/>
  <c r="AN158"/>
  <c r="AO158" s="1"/>
  <c r="AX158"/>
  <c r="AT158"/>
  <c r="AU158" s="1"/>
  <c r="AJ158"/>
  <c r="AK158" s="1"/>
  <c r="AP158"/>
  <c r="AQ158" s="1"/>
  <c r="AX162"/>
  <c r="AJ162"/>
  <c r="AM162"/>
  <c r="AN88"/>
  <c r="AO88" s="1"/>
  <c r="AN89"/>
  <c r="AO89" s="1"/>
  <c r="AN96"/>
  <c r="AO96" s="1"/>
  <c r="AN119"/>
  <c r="AO119" s="1"/>
  <c r="AN131"/>
  <c r="AO131" s="1"/>
  <c r="AP132"/>
  <c r="AQ132" s="1"/>
  <c r="AM132"/>
  <c r="AS132"/>
  <c r="AS133"/>
  <c r="Q133" s="1"/>
  <c r="P133" s="1"/>
  <c r="CB133" s="1"/>
  <c r="CF133" s="1"/>
  <c r="AN134"/>
  <c r="AO134" s="1"/>
  <c r="AS136"/>
  <c r="Q136" s="1"/>
  <c r="P136" s="1"/>
  <c r="CB136" s="1"/>
  <c r="CF136" s="1"/>
  <c r="AP137"/>
  <c r="AQ137" s="1"/>
  <c r="AV141"/>
  <c r="AW141" s="1"/>
  <c r="AS142"/>
  <c r="AS148"/>
  <c r="AS154"/>
  <c r="Q154" s="1"/>
  <c r="P154" s="1"/>
  <c r="CB154" s="1"/>
  <c r="CF154" s="1"/>
  <c r="AT125"/>
  <c r="AU125" s="1"/>
  <c r="AX128"/>
  <c r="AT128"/>
  <c r="AU128" s="1"/>
  <c r="AJ128"/>
  <c r="AI130"/>
  <c r="AN130" s="1"/>
  <c r="AO130" s="1"/>
  <c r="F130"/>
  <c r="AX147"/>
  <c r="AT147"/>
  <c r="AU147" s="1"/>
  <c r="AJ147"/>
  <c r="AK147" s="1"/>
  <c r="AP147"/>
  <c r="AQ147" s="1"/>
  <c r="AN155"/>
  <c r="AO155" s="1"/>
  <c r="AX155"/>
  <c r="AT155"/>
  <c r="AU155" s="1"/>
  <c r="AJ155"/>
  <c r="AK155" s="1"/>
  <c r="AP155"/>
  <c r="AQ155" s="1"/>
  <c r="AM155"/>
  <c r="AN159"/>
  <c r="AO159" s="1"/>
  <c r="AX159"/>
  <c r="AT159"/>
  <c r="AU159" s="1"/>
  <c r="AJ159"/>
  <c r="AK159" s="1"/>
  <c r="AP159"/>
  <c r="AQ159" s="1"/>
  <c r="AM159"/>
  <c r="AP88"/>
  <c r="AQ88" s="1"/>
  <c r="AP89"/>
  <c r="AQ89" s="1"/>
  <c r="AS90"/>
  <c r="Q90" s="1"/>
  <c r="P90" s="1"/>
  <c r="CB90" s="1"/>
  <c r="CF90" s="1"/>
  <c r="AS91"/>
  <c r="AP96"/>
  <c r="AQ96" s="1"/>
  <c r="AS101"/>
  <c r="AS110"/>
  <c r="AS111"/>
  <c r="AS112"/>
  <c r="AP119"/>
  <c r="AQ119" s="1"/>
  <c r="AN125"/>
  <c r="AO125" s="1"/>
  <c r="AV127"/>
  <c r="AW127" s="1"/>
  <c r="AN128"/>
  <c r="AO128" s="1"/>
  <c r="AM130"/>
  <c r="AI134"/>
  <c r="AT134" s="1"/>
  <c r="AU134" s="1"/>
  <c r="AS135"/>
  <c r="AB135"/>
  <c r="Q135" s="1"/>
  <c r="P135" s="1"/>
  <c r="CB135" s="1"/>
  <c r="CF135" s="1"/>
  <c r="BI141"/>
  <c r="AP144"/>
  <c r="AQ144" s="1"/>
  <c r="AS146"/>
  <c r="AS156"/>
  <c r="P163"/>
  <c r="CB163" s="1"/>
  <c r="CF163" s="1"/>
  <c r="AN137"/>
  <c r="AO137" s="1"/>
  <c r="AX137"/>
  <c r="AT137"/>
  <c r="AU137" s="1"/>
  <c r="AJ137"/>
  <c r="AM142"/>
  <c r="AX142"/>
  <c r="AT142"/>
  <c r="AU142" s="1"/>
  <c r="AJ142"/>
  <c r="AK142" s="1"/>
  <c r="AP142"/>
  <c r="AQ142" s="1"/>
  <c r="AS147"/>
  <c r="AV147"/>
  <c r="AW147" s="1"/>
  <c r="AN152"/>
  <c r="AO152" s="1"/>
  <c r="AX152"/>
  <c r="AT152"/>
  <c r="AU152" s="1"/>
  <c r="AJ152"/>
  <c r="AK152" s="1"/>
  <c r="AP152"/>
  <c r="AQ152" s="1"/>
  <c r="AM152"/>
  <c r="AN156"/>
  <c r="AO156" s="1"/>
  <c r="AX156"/>
  <c r="AT156"/>
  <c r="AU156" s="1"/>
  <c r="AJ156"/>
  <c r="AK156" s="1"/>
  <c r="AP156"/>
  <c r="AQ156" s="1"/>
  <c r="AM156"/>
  <c r="AJ88"/>
  <c r="AK88" s="1"/>
  <c r="AT88"/>
  <c r="AU88" s="1"/>
  <c r="AJ89"/>
  <c r="AK89" s="1"/>
  <c r="AT89"/>
  <c r="AU89" s="1"/>
  <c r="AJ96"/>
  <c r="AK96" s="1"/>
  <c r="AT96"/>
  <c r="AU96" s="1"/>
  <c r="AJ119"/>
  <c r="AK119" s="1"/>
  <c r="AT119"/>
  <c r="AU119" s="1"/>
  <c r="AM125"/>
  <c r="R127"/>
  <c r="U127" s="1"/>
  <c r="AS127" s="1"/>
  <c r="AM128"/>
  <c r="AP131"/>
  <c r="AQ131" s="1"/>
  <c r="AG132"/>
  <c r="AJ132" s="1"/>
  <c r="AK132" s="1"/>
  <c r="AN132"/>
  <c r="AO132" s="1"/>
  <c r="AT132"/>
  <c r="AU132" s="1"/>
  <c r="AE160"/>
  <c r="AE164" s="1"/>
  <c r="AV135"/>
  <c r="AW135" s="1"/>
  <c r="AS153"/>
  <c r="AS157"/>
  <c r="AS162"/>
  <c r="Q162" s="1"/>
  <c r="P162" s="1"/>
  <c r="CB162" s="1"/>
  <c r="CF162" s="1"/>
  <c r="R138"/>
  <c r="U138" s="1"/>
  <c r="F139"/>
  <c r="O139" s="1"/>
  <c r="R141"/>
  <c r="U141" s="1"/>
  <c r="AI141"/>
  <c r="AJ144"/>
  <c r="AK144" s="1"/>
  <c r="AT144"/>
  <c r="AU144" s="1"/>
  <c r="AX144"/>
  <c r="R145"/>
  <c r="U145" s="1"/>
  <c r="AI145"/>
  <c r="AV145" s="1"/>
  <c r="AW145" s="1"/>
  <c r="F146"/>
  <c r="O146" s="1"/>
  <c r="AV146"/>
  <c r="AW146" s="1"/>
  <c r="AV148"/>
  <c r="AW148" s="1"/>
  <c r="AN149"/>
  <c r="AO149" s="1"/>
  <c r="AS149"/>
  <c r="AN150"/>
  <c r="AO150" s="1"/>
  <c r="AS150"/>
  <c r="AN151"/>
  <c r="AO151" s="1"/>
  <c r="AS151"/>
  <c r="AV152"/>
  <c r="AW152" s="1"/>
  <c r="AV153"/>
  <c r="AW153" s="1"/>
  <c r="AV154"/>
  <c r="AW154" s="1"/>
  <c r="AV155"/>
  <c r="AW155" s="1"/>
  <c r="AV156"/>
  <c r="AW156" s="1"/>
  <c r="AV157"/>
  <c r="AW157" s="1"/>
  <c r="AV159"/>
  <c r="AW159" s="1"/>
  <c r="AM161"/>
  <c r="R143"/>
  <c r="U143" s="1"/>
  <c r="F144"/>
  <c r="O144" s="1"/>
  <c r="AN144"/>
  <c r="AO144" s="1"/>
  <c r="AM149"/>
  <c r="AM150"/>
  <c r="AM151"/>
  <c r="Q161"/>
  <c r="P161" s="1"/>
  <c r="CB161" s="1"/>
  <c r="CF161" s="1"/>
  <c r="O163"/>
  <c r="BK164"/>
  <c r="AP149"/>
  <c r="AQ149" s="1"/>
  <c r="AP150"/>
  <c r="AQ150" s="1"/>
  <c r="AP151"/>
  <c r="AQ151" s="1"/>
  <c r="AS158"/>
  <c r="R146"/>
  <c r="U146" s="1"/>
  <c r="F147"/>
  <c r="O147" s="1"/>
  <c r="AJ149"/>
  <c r="AK149" s="1"/>
  <c r="AT149"/>
  <c r="AU149" s="1"/>
  <c r="AJ150"/>
  <c r="AK150" s="1"/>
  <c r="AT150"/>
  <c r="AU150" s="1"/>
  <c r="AJ151"/>
  <c r="AK151" s="1"/>
  <c r="AT151"/>
  <c r="AU151" s="1"/>
  <c r="G19" i="2"/>
  <c r="H10"/>
  <c r="I10" s="1"/>
  <c r="D4"/>
  <c r="C17"/>
  <c r="H20"/>
  <c r="AG127" i="6" l="1"/>
  <c r="O127"/>
  <c r="Q144"/>
  <c r="P144" s="1"/>
  <c r="CB144" s="1"/>
  <c r="CF144" s="1"/>
  <c r="Q157"/>
  <c r="P157" s="1"/>
  <c r="CB157" s="1"/>
  <c r="CF157" s="1"/>
  <c r="Q153"/>
  <c r="P153" s="1"/>
  <c r="CB153" s="1"/>
  <c r="CF153" s="1"/>
  <c r="Q154"/>
  <c r="P154" s="1"/>
  <c r="CB154" s="1"/>
  <c r="CF154" s="1"/>
  <c r="AM147"/>
  <c r="BI160"/>
  <c r="BI164" s="1"/>
  <c r="Q162"/>
  <c r="P162" s="1"/>
  <c r="CB162" s="1"/>
  <c r="CF162" s="1"/>
  <c r="AN147"/>
  <c r="AO147" s="1"/>
  <c r="AM138"/>
  <c r="AX131"/>
  <c r="AX138"/>
  <c r="Q137"/>
  <c r="P137" s="1"/>
  <c r="CB137" s="1"/>
  <c r="CF137" s="1"/>
  <c r="AT100"/>
  <c r="AU100" s="1"/>
  <c r="AT51"/>
  <c r="AU51" s="1"/>
  <c r="Q132"/>
  <c r="P132" s="1"/>
  <c r="CB132" s="1"/>
  <c r="CF132" s="1"/>
  <c r="AN100"/>
  <c r="AO100" s="1"/>
  <c r="AM100"/>
  <c r="AP138"/>
  <c r="AQ138" s="1"/>
  <c r="Q34"/>
  <c r="P34" s="1"/>
  <c r="CB34" s="1"/>
  <c r="CF34" s="1"/>
  <c r="Q18"/>
  <c r="P18" s="1"/>
  <c r="CB18" s="1"/>
  <c r="CF18" s="1"/>
  <c r="Q15"/>
  <c r="P15" s="1"/>
  <c r="CB15" s="1"/>
  <c r="CF15" s="1"/>
  <c r="Q47"/>
  <c r="P47" s="1"/>
  <c r="CB47" s="1"/>
  <c r="CF47" s="1"/>
  <c r="U160"/>
  <c r="U164" s="1"/>
  <c r="Q40"/>
  <c r="P40" s="1"/>
  <c r="CB40" s="1"/>
  <c r="CF40" s="1"/>
  <c r="P115"/>
  <c r="CB115" s="1"/>
  <c r="CF115" s="1"/>
  <c r="P108"/>
  <c r="CB108" s="1"/>
  <c r="CF108" s="1"/>
  <c r="AJ71"/>
  <c r="AK71" s="1"/>
  <c r="Q156"/>
  <c r="P156" s="1"/>
  <c r="CB156" s="1"/>
  <c r="CF156" s="1"/>
  <c r="Q151"/>
  <c r="P151" s="1"/>
  <c r="CB151" s="1"/>
  <c r="CF151" s="1"/>
  <c r="Q149"/>
  <c r="P149" s="1"/>
  <c r="CB149" s="1"/>
  <c r="CF149" s="1"/>
  <c r="Q145"/>
  <c r="P145" s="1"/>
  <c r="CB145" s="1"/>
  <c r="CF145" s="1"/>
  <c r="AS134"/>
  <c r="Q90"/>
  <c r="P90" s="1"/>
  <c r="CB90" s="1"/>
  <c r="CF90" s="1"/>
  <c r="Q91"/>
  <c r="P91" s="1"/>
  <c r="CB91" s="1"/>
  <c r="CF91" s="1"/>
  <c r="Q16"/>
  <c r="P16" s="1"/>
  <c r="CB16" s="1"/>
  <c r="CF16" s="1"/>
  <c r="Q9"/>
  <c r="P9" s="1"/>
  <c r="CB9" s="1"/>
  <c r="CF9" s="1"/>
  <c r="Q43"/>
  <c r="P43" s="1"/>
  <c r="CB43" s="1"/>
  <c r="CF43" s="1"/>
  <c r="Q36"/>
  <c r="P36" s="1"/>
  <c r="CB36" s="1"/>
  <c r="CF36" s="1"/>
  <c r="Q27"/>
  <c r="P27" s="1"/>
  <c r="CB27" s="1"/>
  <c r="CF27" s="1"/>
  <c r="Q155"/>
  <c r="P155" s="1"/>
  <c r="CB155" s="1"/>
  <c r="CF155" s="1"/>
  <c r="Q89"/>
  <c r="P89" s="1"/>
  <c r="CB89" s="1"/>
  <c r="CF89" s="1"/>
  <c r="Q84"/>
  <c r="P84" s="1"/>
  <c r="CB84" s="1"/>
  <c r="CF84" s="1"/>
  <c r="Q67"/>
  <c r="P67" s="1"/>
  <c r="CB67" s="1"/>
  <c r="CF67" s="1"/>
  <c r="AN141"/>
  <c r="AO141" s="1"/>
  <c r="Q103"/>
  <c r="P103" s="1"/>
  <c r="CB103" s="1"/>
  <c r="CF103" s="1"/>
  <c r="Q14"/>
  <c r="P14" s="1"/>
  <c r="CB14" s="1"/>
  <c r="CF14" s="1"/>
  <c r="Q31"/>
  <c r="P31" s="1"/>
  <c r="CB31" s="1"/>
  <c r="CF31" s="1"/>
  <c r="Q28"/>
  <c r="P28" s="1"/>
  <c r="CB28" s="1"/>
  <c r="CF28" s="1"/>
  <c r="Q48"/>
  <c r="P48" s="1"/>
  <c r="CB48" s="1"/>
  <c r="CF48" s="1"/>
  <c r="AG130"/>
  <c r="O130"/>
  <c r="Q82"/>
  <c r="P82" s="1"/>
  <c r="CB82" s="1"/>
  <c r="CF82" s="1"/>
  <c r="Q44"/>
  <c r="P44" s="1"/>
  <c r="CB44" s="1"/>
  <c r="CF44" s="1"/>
  <c r="AT71"/>
  <c r="AU71" s="1"/>
  <c r="AX134" i="3"/>
  <c r="Q119"/>
  <c r="P119" s="1"/>
  <c r="CB119" s="1"/>
  <c r="CF119" s="1"/>
  <c r="Q149"/>
  <c r="P149" s="1"/>
  <c r="CB149" s="1"/>
  <c r="CF149" s="1"/>
  <c r="AS145"/>
  <c r="Q131"/>
  <c r="P131" s="1"/>
  <c r="CB131" s="1"/>
  <c r="CF131" s="1"/>
  <c r="Q75"/>
  <c r="P75" s="1"/>
  <c r="CB75" s="1"/>
  <c r="CF75" s="1"/>
  <c r="Q110"/>
  <c r="P110" s="1"/>
  <c r="CB110" s="1"/>
  <c r="CF110" s="1"/>
  <c r="Q45"/>
  <c r="P45" s="1"/>
  <c r="CB45" s="1"/>
  <c r="CF45" s="1"/>
  <c r="Q20"/>
  <c r="Q10"/>
  <c r="P10" s="1"/>
  <c r="CB10" s="1"/>
  <c r="CF10" s="1"/>
  <c r="Q52"/>
  <c r="P52" s="1"/>
  <c r="CB52" s="1"/>
  <c r="CF52" s="1"/>
  <c r="Q84"/>
  <c r="P84" s="1"/>
  <c r="CB84" s="1"/>
  <c r="CF84" s="1"/>
  <c r="Q74"/>
  <c r="P74" s="1"/>
  <c r="CB74" s="1"/>
  <c r="CF74" s="1"/>
  <c r="Q148"/>
  <c r="P148" s="1"/>
  <c r="CB148" s="1"/>
  <c r="CF148" s="1"/>
  <c r="Q59"/>
  <c r="P59" s="1"/>
  <c r="CB59" s="1"/>
  <c r="CF59" s="1"/>
  <c r="Q8"/>
  <c r="AM137"/>
  <c r="Q91"/>
  <c r="P91" s="1"/>
  <c r="CB91" s="1"/>
  <c r="CF91" s="1"/>
  <c r="AX70"/>
  <c r="AM67"/>
  <c r="AN78"/>
  <c r="AO78" s="1"/>
  <c r="Q49"/>
  <c r="P49" s="1"/>
  <c r="CB49" s="1"/>
  <c r="CF49" s="1"/>
  <c r="Q21"/>
  <c r="P21" s="1"/>
  <c r="CB21" s="1"/>
  <c r="CF21" s="1"/>
  <c r="Q15"/>
  <c r="P15" s="1"/>
  <c r="CB15" s="1"/>
  <c r="CF15" s="1"/>
  <c r="Q13"/>
  <c r="P13" s="1"/>
  <c r="CB13" s="1"/>
  <c r="CF13" s="1"/>
  <c r="P32"/>
  <c r="CB32" s="1"/>
  <c r="CF32" s="1"/>
  <c r="Q56"/>
  <c r="P56" s="1"/>
  <c r="CB56" s="1"/>
  <c r="CF56" s="1"/>
  <c r="AT130"/>
  <c r="AU130" s="1"/>
  <c r="U160"/>
  <c r="U164" s="1"/>
  <c r="Q101"/>
  <c r="P101" s="1"/>
  <c r="CB101" s="1"/>
  <c r="CF101" s="1"/>
  <c r="Q122"/>
  <c r="P122" s="1"/>
  <c r="CB122" s="1"/>
  <c r="CF122" s="1"/>
  <c r="Q34"/>
  <c r="P34" s="1"/>
  <c r="CB34" s="1"/>
  <c r="CF34" s="1"/>
  <c r="Q26"/>
  <c r="P26" s="1"/>
  <c r="CB26" s="1"/>
  <c r="CF26" s="1"/>
  <c r="Q19"/>
  <c r="P19" s="1"/>
  <c r="CB19" s="1"/>
  <c r="CF19" s="1"/>
  <c r="AI160"/>
  <c r="AI164" s="1"/>
  <c r="Q62"/>
  <c r="P62" s="1"/>
  <c r="CB62" s="1"/>
  <c r="CF62" s="1"/>
  <c r="Q9"/>
  <c r="P9" s="1"/>
  <c r="CB9" s="1"/>
  <c r="CF9" s="1"/>
  <c r="P114"/>
  <c r="CB114" s="1"/>
  <c r="CF114" s="1"/>
  <c r="AS141"/>
  <c r="P18"/>
  <c r="CB18" s="1"/>
  <c r="CF18" s="1"/>
  <c r="P16"/>
  <c r="CB16" s="1"/>
  <c r="CF16" s="1"/>
  <c r="AM70"/>
  <c r="Q58"/>
  <c r="P58" s="1"/>
  <c r="CB58" s="1"/>
  <c r="CF58" s="1"/>
  <c r="Q54"/>
  <c r="P54" s="1"/>
  <c r="CB54" s="1"/>
  <c r="CF54" s="1"/>
  <c r="Q68"/>
  <c r="P68" s="1"/>
  <c r="CB68" s="1"/>
  <c r="CF68" s="1"/>
  <c r="Q111"/>
  <c r="P111" s="1"/>
  <c r="CB111" s="1"/>
  <c r="CF111" s="1"/>
  <c r="Q63"/>
  <c r="P63" s="1"/>
  <c r="CB63" s="1"/>
  <c r="CF63" s="1"/>
  <c r="Q33"/>
  <c r="P33" s="1"/>
  <c r="CB33" s="1"/>
  <c r="CF33" s="1"/>
  <c r="AJ135" i="5"/>
  <c r="AK135" s="1"/>
  <c r="P163"/>
  <c r="CB163" s="1"/>
  <c r="Q41"/>
  <c r="P41" s="1"/>
  <c r="CB41" s="1"/>
  <c r="AV127"/>
  <c r="AW127" s="1"/>
  <c r="B41" i="11"/>
  <c r="E41" s="1"/>
  <c r="E29"/>
  <c r="B11" i="7"/>
  <c r="I51"/>
  <c r="K51" s="1"/>
  <c r="C91"/>
  <c r="E91" s="1"/>
  <c r="E11"/>
  <c r="J90" s="1"/>
  <c r="E52"/>
  <c r="F52" s="1"/>
  <c r="AT142" i="5"/>
  <c r="AU142" s="1"/>
  <c r="AM142"/>
  <c r="AV142"/>
  <c r="AW142" s="1"/>
  <c r="Q122"/>
  <c r="P122" s="1"/>
  <c r="CB122" s="1"/>
  <c r="AP67"/>
  <c r="AQ67" s="1"/>
  <c r="AT67"/>
  <c r="AU67" s="1"/>
  <c r="Q39"/>
  <c r="P39" s="1"/>
  <c r="CB39" s="1"/>
  <c r="AT52"/>
  <c r="AU52" s="1"/>
  <c r="Q159"/>
  <c r="P159" s="1"/>
  <c r="CB159" s="1"/>
  <c r="Q82"/>
  <c r="P82" s="1"/>
  <c r="CB82" s="1"/>
  <c r="AN67"/>
  <c r="AO67" s="1"/>
  <c r="AP52"/>
  <c r="AQ52" s="1"/>
  <c r="AN52"/>
  <c r="AO52" s="1"/>
  <c r="Q40"/>
  <c r="P40" s="1"/>
  <c r="CB40" s="1"/>
  <c r="P108"/>
  <c r="CB108" s="1"/>
  <c r="P116"/>
  <c r="CB116" s="1"/>
  <c r="AJ142"/>
  <c r="AK142" s="1"/>
  <c r="AN135"/>
  <c r="AO135" s="1"/>
  <c r="AM134"/>
  <c r="AV52"/>
  <c r="AW52" s="1"/>
  <c r="AX67"/>
  <c r="Q12"/>
  <c r="P12" s="1"/>
  <c r="CB12" s="1"/>
  <c r="Q9"/>
  <c r="P9" s="1"/>
  <c r="CB9" s="1"/>
  <c r="AM52"/>
  <c r="AX52"/>
  <c r="AK131" i="6"/>
  <c r="Q131"/>
  <c r="P131" s="1"/>
  <c r="CB131" s="1"/>
  <c r="CF131" s="1"/>
  <c r="O129"/>
  <c r="AG129"/>
  <c r="AM125"/>
  <c r="AN125"/>
  <c r="AO125" s="1"/>
  <c r="AX125"/>
  <c r="AT125"/>
  <c r="AU125" s="1"/>
  <c r="AJ125"/>
  <c r="AK125" s="1"/>
  <c r="AP125"/>
  <c r="AQ125" s="1"/>
  <c r="AS138"/>
  <c r="AV138"/>
  <c r="AW138" s="1"/>
  <c r="AW8"/>
  <c r="AK8"/>
  <c r="Q159"/>
  <c r="P159" s="1"/>
  <c r="CB159" s="1"/>
  <c r="CF159" s="1"/>
  <c r="Q112"/>
  <c r="P112" s="1"/>
  <c r="CB112" s="1"/>
  <c r="CF112" s="1"/>
  <c r="AS142"/>
  <c r="Q78"/>
  <c r="P78" s="1"/>
  <c r="CB78" s="1"/>
  <c r="CF78" s="1"/>
  <c r="Q65"/>
  <c r="P65" s="1"/>
  <c r="CB65" s="1"/>
  <c r="CF65" s="1"/>
  <c r="Q96"/>
  <c r="P96" s="1"/>
  <c r="CB96" s="1"/>
  <c r="CF96" s="1"/>
  <c r="Q87"/>
  <c r="P87" s="1"/>
  <c r="CB87" s="1"/>
  <c r="CF87" s="1"/>
  <c r="Q85"/>
  <c r="P85" s="1"/>
  <c r="CB85" s="1"/>
  <c r="CF85" s="1"/>
  <c r="Q59"/>
  <c r="P59" s="1"/>
  <c r="CB59" s="1"/>
  <c r="CF59" s="1"/>
  <c r="AV125"/>
  <c r="AW125" s="1"/>
  <c r="AS57"/>
  <c r="AM141"/>
  <c r="BC83"/>
  <c r="Q80"/>
  <c r="P80" s="1"/>
  <c r="CB80" s="1"/>
  <c r="CF80" s="1"/>
  <c r="Q68"/>
  <c r="P68" s="1"/>
  <c r="CB68" s="1"/>
  <c r="CF68" s="1"/>
  <c r="AX57"/>
  <c r="Q76"/>
  <c r="P76" s="1"/>
  <c r="CB76" s="1"/>
  <c r="CF76" s="1"/>
  <c r="AP53"/>
  <c r="AQ53" s="1"/>
  <c r="Q23"/>
  <c r="P23" s="1"/>
  <c r="CB23" s="1"/>
  <c r="CF23" s="1"/>
  <c r="Q29"/>
  <c r="P29" s="1"/>
  <c r="CB29" s="1"/>
  <c r="CF29" s="1"/>
  <c r="Q26"/>
  <c r="P26" s="1"/>
  <c r="CB26" s="1"/>
  <c r="CF26" s="1"/>
  <c r="Q12"/>
  <c r="P12" s="1"/>
  <c r="CB12" s="1"/>
  <c r="CF12" s="1"/>
  <c r="Q11"/>
  <c r="P11" s="1"/>
  <c r="CB11" s="1"/>
  <c r="CF11" s="1"/>
  <c r="AP57"/>
  <c r="AQ57" s="1"/>
  <c r="Q30"/>
  <c r="P30" s="1"/>
  <c r="CB30" s="1"/>
  <c r="CF30" s="1"/>
  <c r="Q64"/>
  <c r="P64" s="1"/>
  <c r="CB64" s="1"/>
  <c r="CF64" s="1"/>
  <c r="Q37"/>
  <c r="P37" s="1"/>
  <c r="CB37" s="1"/>
  <c r="CF37" s="1"/>
  <c r="Q10"/>
  <c r="P10" s="1"/>
  <c r="CB10" s="1"/>
  <c r="CF10" s="1"/>
  <c r="AN124"/>
  <c r="AO124" s="1"/>
  <c r="AT124"/>
  <c r="AU124" s="1"/>
  <c r="AP124"/>
  <c r="AQ124" s="1"/>
  <c r="AM124"/>
  <c r="AN139"/>
  <c r="AO139" s="1"/>
  <c r="AX139"/>
  <c r="AT139"/>
  <c r="AU139" s="1"/>
  <c r="AM139"/>
  <c r="AP139"/>
  <c r="AQ139" s="1"/>
  <c r="AJ139"/>
  <c r="AK139" s="1"/>
  <c r="AN146"/>
  <c r="AO146" s="1"/>
  <c r="AP146"/>
  <c r="AQ146" s="1"/>
  <c r="AJ146"/>
  <c r="AK146" s="1"/>
  <c r="AX146"/>
  <c r="AT146"/>
  <c r="AU146" s="1"/>
  <c r="AM146"/>
  <c r="AP128"/>
  <c r="AQ128" s="1"/>
  <c r="AX128"/>
  <c r="AM128"/>
  <c r="AT128"/>
  <c r="AU128" s="1"/>
  <c r="AN128"/>
  <c r="AO128" s="1"/>
  <c r="Q128"/>
  <c r="P128" s="1"/>
  <c r="CB128" s="1"/>
  <c r="CF128" s="1"/>
  <c r="AJ128"/>
  <c r="AK128" s="1"/>
  <c r="AV77"/>
  <c r="AW77" s="1"/>
  <c r="AS77"/>
  <c r="Q8"/>
  <c r="AO8"/>
  <c r="Q150"/>
  <c r="P150" s="1"/>
  <c r="CB150" s="1"/>
  <c r="CF150" s="1"/>
  <c r="Q133"/>
  <c r="P133" s="1"/>
  <c r="CB133" s="1"/>
  <c r="CF133" s="1"/>
  <c r="F160"/>
  <c r="F164" s="1"/>
  <c r="AX53"/>
  <c r="AM77"/>
  <c r="AP77"/>
  <c r="AQ77" s="1"/>
  <c r="Q97"/>
  <c r="P97" s="1"/>
  <c r="CB97" s="1"/>
  <c r="CF97" s="1"/>
  <c r="Q41"/>
  <c r="P41" s="1"/>
  <c r="CB41" s="1"/>
  <c r="CF41" s="1"/>
  <c r="Q35"/>
  <c r="P35" s="1"/>
  <c r="CB35" s="1"/>
  <c r="CF35" s="1"/>
  <c r="AM142"/>
  <c r="AP142"/>
  <c r="AQ142" s="1"/>
  <c r="AJ142"/>
  <c r="AK142" s="1"/>
  <c r="AX142"/>
  <c r="AT142"/>
  <c r="AU142" s="1"/>
  <c r="AN142"/>
  <c r="AO142" s="1"/>
  <c r="AM134"/>
  <c r="AP134"/>
  <c r="AQ134" s="1"/>
  <c r="AJ134"/>
  <c r="AK134" s="1"/>
  <c r="AX134"/>
  <c r="AT134"/>
  <c r="AU134" s="1"/>
  <c r="AN134"/>
  <c r="AO134" s="1"/>
  <c r="AS147"/>
  <c r="AV147"/>
  <c r="AW147" s="1"/>
  <c r="AP147"/>
  <c r="AQ147" s="1"/>
  <c r="AM140"/>
  <c r="AP140"/>
  <c r="AQ140" s="1"/>
  <c r="AJ140"/>
  <c r="AK140" s="1"/>
  <c r="AX140"/>
  <c r="AT140"/>
  <c r="AU140" s="1"/>
  <c r="AN140"/>
  <c r="AO140" s="1"/>
  <c r="AP143"/>
  <c r="AQ143" s="1"/>
  <c r="AX143"/>
  <c r="AM143"/>
  <c r="AT143"/>
  <c r="AU143" s="1"/>
  <c r="AN143"/>
  <c r="AO143" s="1"/>
  <c r="AJ143"/>
  <c r="AK143" s="1"/>
  <c r="AP135"/>
  <c r="AQ135" s="1"/>
  <c r="AX135"/>
  <c r="AM135"/>
  <c r="AT135"/>
  <c r="AU135" s="1"/>
  <c r="AN135"/>
  <c r="AO135" s="1"/>
  <c r="AJ135"/>
  <c r="AK135" s="1"/>
  <c r="AS140"/>
  <c r="Q72"/>
  <c r="P72" s="1"/>
  <c r="CB72" s="1"/>
  <c r="CF72" s="1"/>
  <c r="AX147"/>
  <c r="R160"/>
  <c r="R164" s="1"/>
  <c r="AI160"/>
  <c r="AI164" s="1"/>
  <c r="AT53"/>
  <c r="AU53" s="1"/>
  <c r="Q95"/>
  <c r="P95" s="1"/>
  <c r="CB95" s="1"/>
  <c r="CF95" s="1"/>
  <c r="Q54"/>
  <c r="P54" s="1"/>
  <c r="CB54" s="1"/>
  <c r="CF54" s="1"/>
  <c r="Q22"/>
  <c r="P22" s="1"/>
  <c r="CB22" s="1"/>
  <c r="CF22" s="1"/>
  <c r="Q83"/>
  <c r="P83" s="1"/>
  <c r="CB83" s="1"/>
  <c r="CF83" s="1"/>
  <c r="AB160"/>
  <c r="AB164" s="1"/>
  <c r="BD160"/>
  <c r="Q24"/>
  <c r="P24" s="1"/>
  <c r="CB24" s="1"/>
  <c r="CF24" s="1"/>
  <c r="O126"/>
  <c r="AG126"/>
  <c r="AN127"/>
  <c r="AO127" s="1"/>
  <c r="AP127"/>
  <c r="AQ127" s="1"/>
  <c r="AJ127"/>
  <c r="AK127" s="1"/>
  <c r="AX127"/>
  <c r="AT127"/>
  <c r="AU127" s="1"/>
  <c r="AM127"/>
  <c r="O124"/>
  <c r="O160" s="1"/>
  <c r="O164" s="1"/>
  <c r="AG124"/>
  <c r="AG160" s="1"/>
  <c r="AG164" s="1"/>
  <c r="AV53"/>
  <c r="AW53" s="1"/>
  <c r="AS53"/>
  <c r="AM57"/>
  <c r="V57"/>
  <c r="AN57"/>
  <c r="AO57" s="1"/>
  <c r="AV100"/>
  <c r="AW100" s="1"/>
  <c r="AS100"/>
  <c r="Q100" s="1"/>
  <c r="P100" s="1"/>
  <c r="CB100" s="1"/>
  <c r="CF100" s="1"/>
  <c r="AS51"/>
  <c r="AM51"/>
  <c r="Q51" s="1"/>
  <c r="P51" s="1"/>
  <c r="CB51" s="1"/>
  <c r="CF51" s="1"/>
  <c r="AV51"/>
  <c r="AW51" s="1"/>
  <c r="AQ8"/>
  <c r="AN33"/>
  <c r="AO33" s="1"/>
  <c r="AP33"/>
  <c r="AQ33" s="1"/>
  <c r="AJ33"/>
  <c r="AK33" s="1"/>
  <c r="AX33"/>
  <c r="AT33"/>
  <c r="AU33" s="1"/>
  <c r="AM33"/>
  <c r="AM160" s="1"/>
  <c r="AM164" s="1"/>
  <c r="AU8"/>
  <c r="Q152"/>
  <c r="P152" s="1"/>
  <c r="CB152" s="1"/>
  <c r="CF152" s="1"/>
  <c r="Q123"/>
  <c r="P123" s="1"/>
  <c r="CB123" s="1"/>
  <c r="CF123" s="1"/>
  <c r="Q120"/>
  <c r="P120" s="1"/>
  <c r="CB120" s="1"/>
  <c r="CF120" s="1"/>
  <c r="Q138"/>
  <c r="P138" s="1"/>
  <c r="CB138" s="1"/>
  <c r="CF138" s="1"/>
  <c r="AN77"/>
  <c r="AO77" s="1"/>
  <c r="AX77"/>
  <c r="Q62"/>
  <c r="P62" s="1"/>
  <c r="CB62" s="1"/>
  <c r="CF62" s="1"/>
  <c r="Q58"/>
  <c r="P58" s="1"/>
  <c r="CB58" s="1"/>
  <c r="CF58" s="1"/>
  <c r="AJ147"/>
  <c r="Q141"/>
  <c r="P141" s="1"/>
  <c r="CB141" s="1"/>
  <c r="CF141" s="1"/>
  <c r="Q104"/>
  <c r="P104" s="1"/>
  <c r="CB104" s="1"/>
  <c r="CF104" s="1"/>
  <c r="AT57"/>
  <c r="AU57" s="1"/>
  <c r="Q56"/>
  <c r="P56" s="1"/>
  <c r="CB56" s="1"/>
  <c r="CF56" s="1"/>
  <c r="Q148"/>
  <c r="P148" s="1"/>
  <c r="CB148" s="1"/>
  <c r="CF148" s="1"/>
  <c r="AX51"/>
  <c r="AJ53"/>
  <c r="AK53" s="1"/>
  <c r="AN53"/>
  <c r="AO53" s="1"/>
  <c r="W160"/>
  <c r="W164" s="1"/>
  <c r="Q88"/>
  <c r="P88" s="1"/>
  <c r="CB88" s="1"/>
  <c r="CF88" s="1"/>
  <c r="Q81"/>
  <c r="P81" s="1"/>
  <c r="CB81" s="1"/>
  <c r="CF81" s="1"/>
  <c r="Q79"/>
  <c r="P79" s="1"/>
  <c r="CB79" s="1"/>
  <c r="CF79" s="1"/>
  <c r="Q49"/>
  <c r="P49" s="1"/>
  <c r="CB49" s="1"/>
  <c r="CF49" s="1"/>
  <c r="Q45"/>
  <c r="P45" s="1"/>
  <c r="CB45" s="1"/>
  <c r="CF45" s="1"/>
  <c r="Q75"/>
  <c r="P75" s="1"/>
  <c r="CB75" s="1"/>
  <c r="CF75" s="1"/>
  <c r="Q32"/>
  <c r="P32" s="1"/>
  <c r="CB32" s="1"/>
  <c r="CF32" s="1"/>
  <c r="Q162" i="5"/>
  <c r="P162" s="1"/>
  <c r="CB162" s="1"/>
  <c r="Q155"/>
  <c r="P155" s="1"/>
  <c r="CB155" s="1"/>
  <c r="AM77"/>
  <c r="Q89"/>
  <c r="P89" s="1"/>
  <c r="CB89" s="1"/>
  <c r="Q24"/>
  <c r="P24" s="1"/>
  <c r="CB24" s="1"/>
  <c r="Q154"/>
  <c r="P154" s="1"/>
  <c r="CB154" s="1"/>
  <c r="AX77"/>
  <c r="AN70"/>
  <c r="AO70" s="1"/>
  <c r="AT70"/>
  <c r="AU70" s="1"/>
  <c r="Q20"/>
  <c r="P20" s="1"/>
  <c r="CB20" s="1"/>
  <c r="Q18"/>
  <c r="P18" s="1"/>
  <c r="CB18" s="1"/>
  <c r="Q16"/>
  <c r="P16" s="1"/>
  <c r="CB16" s="1"/>
  <c r="Q14"/>
  <c r="P14" s="1"/>
  <c r="CB14" s="1"/>
  <c r="O129"/>
  <c r="Q150"/>
  <c r="P150" s="1"/>
  <c r="CB150" s="1"/>
  <c r="Q85"/>
  <c r="P85" s="1"/>
  <c r="CB85" s="1"/>
  <c r="Q86"/>
  <c r="P86" s="1"/>
  <c r="CB86" s="1"/>
  <c r="AJ70"/>
  <c r="AK70" s="1"/>
  <c r="Q73"/>
  <c r="P73" s="1"/>
  <c r="CB73" s="1"/>
  <c r="Q29"/>
  <c r="Q161"/>
  <c r="P161" s="1"/>
  <c r="CB161" s="1"/>
  <c r="AM67"/>
  <c r="Q67" s="1"/>
  <c r="P67" s="1"/>
  <c r="CB67" s="1"/>
  <c r="AP144"/>
  <c r="AQ144" s="1"/>
  <c r="Q45"/>
  <c r="P45" s="1"/>
  <c r="CB45" s="1"/>
  <c r="O126"/>
  <c r="AG126"/>
  <c r="AX126" s="1"/>
  <c r="Q137"/>
  <c r="P137" s="1"/>
  <c r="CB137" s="1"/>
  <c r="Q120"/>
  <c r="P120" s="1"/>
  <c r="CB120" s="1"/>
  <c r="Q136"/>
  <c r="P136" s="1"/>
  <c r="CB136" s="1"/>
  <c r="Q101"/>
  <c r="P101" s="1"/>
  <c r="CB101" s="1"/>
  <c r="Q76"/>
  <c r="P76" s="1"/>
  <c r="CB76" s="1"/>
  <c r="Q71"/>
  <c r="P71" s="1"/>
  <c r="CB71" s="1"/>
  <c r="Q74"/>
  <c r="P74" s="1"/>
  <c r="CB74" s="1"/>
  <c r="AX57"/>
  <c r="Q90"/>
  <c r="P90" s="1"/>
  <c r="CB90" s="1"/>
  <c r="Q69"/>
  <c r="P69" s="1"/>
  <c r="CB69" s="1"/>
  <c r="Q66"/>
  <c r="P66" s="1"/>
  <c r="CB66" s="1"/>
  <c r="Q31"/>
  <c r="P31" s="1"/>
  <c r="CB31" s="1"/>
  <c r="Q49"/>
  <c r="P49" s="1"/>
  <c r="CB49" s="1"/>
  <c r="P106"/>
  <c r="CB106" s="1"/>
  <c r="AS55"/>
  <c r="Q55" s="1"/>
  <c r="P55" s="1"/>
  <c r="CB55" s="1"/>
  <c r="BI160"/>
  <c r="BI164" s="1"/>
  <c r="Q15"/>
  <c r="P15" s="1"/>
  <c r="CB15" s="1"/>
  <c r="Q43"/>
  <c r="P43" s="1"/>
  <c r="CB43" s="1"/>
  <c r="Q148"/>
  <c r="P148" s="1"/>
  <c r="CB148" s="1"/>
  <c r="Q143"/>
  <c r="P143" s="1"/>
  <c r="CB143" s="1"/>
  <c r="Q88"/>
  <c r="P88" s="1"/>
  <c r="CB88" s="1"/>
  <c r="AN57"/>
  <c r="AO57" s="1"/>
  <c r="AJ57"/>
  <c r="AK57" s="1"/>
  <c r="Q10"/>
  <c r="P10" s="1"/>
  <c r="CB10" s="1"/>
  <c r="Q80"/>
  <c r="P80" s="1"/>
  <c r="CB80" s="1"/>
  <c r="Q13"/>
  <c r="P13" s="1"/>
  <c r="CB13" s="1"/>
  <c r="Q47"/>
  <c r="P47" s="1"/>
  <c r="CB47" s="1"/>
  <c r="Q46"/>
  <c r="P46" s="1"/>
  <c r="CB46" s="1"/>
  <c r="AP137"/>
  <c r="AQ137" s="1"/>
  <c r="AS53"/>
  <c r="AV53"/>
  <c r="AW53" s="1"/>
  <c r="Q157"/>
  <c r="P157" s="1"/>
  <c r="CB157" s="1"/>
  <c r="Q153"/>
  <c r="P153" s="1"/>
  <c r="CB153" s="1"/>
  <c r="Q50"/>
  <c r="P50" s="1"/>
  <c r="CB50" s="1"/>
  <c r="AP55"/>
  <c r="AQ55" s="1"/>
  <c r="AK132"/>
  <c r="Q132"/>
  <c r="P132" s="1"/>
  <c r="CB132" s="1"/>
  <c r="AX124"/>
  <c r="AT124"/>
  <c r="AU124" s="1"/>
  <c r="AJ124"/>
  <c r="AK124" s="1"/>
  <c r="AP124"/>
  <c r="AQ124" s="1"/>
  <c r="AM124"/>
  <c r="AN124"/>
  <c r="AO124" s="1"/>
  <c r="AN138"/>
  <c r="AO138" s="1"/>
  <c r="AT138"/>
  <c r="AU138" s="1"/>
  <c r="AM138"/>
  <c r="AP138"/>
  <c r="AQ138" s="1"/>
  <c r="AJ138"/>
  <c r="AK138" s="1"/>
  <c r="AX138"/>
  <c r="AV65"/>
  <c r="AW65" s="1"/>
  <c r="AS65"/>
  <c r="AU8"/>
  <c r="AQ8"/>
  <c r="AP33"/>
  <c r="AQ33" s="1"/>
  <c r="AM33"/>
  <c r="AN33"/>
  <c r="AO33" s="1"/>
  <c r="AX33"/>
  <c r="AJ33"/>
  <c r="AK33" s="1"/>
  <c r="AT33"/>
  <c r="AU33" s="1"/>
  <c r="Q156"/>
  <c r="P156" s="1"/>
  <c r="CB156" s="1"/>
  <c r="Q152"/>
  <c r="P152" s="1"/>
  <c r="CB152" s="1"/>
  <c r="Q151"/>
  <c r="P151" s="1"/>
  <c r="CB151" s="1"/>
  <c r="Q149"/>
  <c r="P149" s="1"/>
  <c r="CB149" s="1"/>
  <c r="AN142"/>
  <c r="AO142" s="1"/>
  <c r="AX135"/>
  <c r="AT128"/>
  <c r="AU128" s="1"/>
  <c r="Q144"/>
  <c r="P144" s="1"/>
  <c r="CB144" s="1"/>
  <c r="AT130"/>
  <c r="AU130" s="1"/>
  <c r="Q91"/>
  <c r="P91" s="1"/>
  <c r="CB91" s="1"/>
  <c r="AN127"/>
  <c r="AO127" s="1"/>
  <c r="AP127"/>
  <c r="AQ127" s="1"/>
  <c r="AX96"/>
  <c r="AP96"/>
  <c r="AQ96" s="1"/>
  <c r="AX142"/>
  <c r="Q110"/>
  <c r="P110" s="1"/>
  <c r="CB110" s="1"/>
  <c r="Q84"/>
  <c r="P84" s="1"/>
  <c r="CB84" s="1"/>
  <c r="F160"/>
  <c r="F164" s="1"/>
  <c r="Q95"/>
  <c r="P95" s="1"/>
  <c r="CB95" s="1"/>
  <c r="Q60"/>
  <c r="P60" s="1"/>
  <c r="CB60" s="1"/>
  <c r="P29"/>
  <c r="CB29" s="1"/>
  <c r="P27"/>
  <c r="CB27" s="1"/>
  <c r="Q30"/>
  <c r="P30" s="1"/>
  <c r="CB30" s="1"/>
  <c r="Q21"/>
  <c r="P21" s="1"/>
  <c r="CB21" s="1"/>
  <c r="Q19"/>
  <c r="P19" s="1"/>
  <c r="CB19" s="1"/>
  <c r="Q17"/>
  <c r="P17" s="1"/>
  <c r="CB17" s="1"/>
  <c r="Q81"/>
  <c r="P81" s="1"/>
  <c r="CB81" s="1"/>
  <c r="AN65"/>
  <c r="AO65" s="1"/>
  <c r="Q53"/>
  <c r="P53" s="1"/>
  <c r="CB53" s="1"/>
  <c r="AN51"/>
  <c r="AO51" s="1"/>
  <c r="Q37"/>
  <c r="P37" s="1"/>
  <c r="CB37" s="1"/>
  <c r="Q35"/>
  <c r="P35" s="1"/>
  <c r="CB35" s="1"/>
  <c r="Q23"/>
  <c r="P23" s="1"/>
  <c r="CB23" s="1"/>
  <c r="Q64"/>
  <c r="P64" s="1"/>
  <c r="CB64" s="1"/>
  <c r="Q32"/>
  <c r="P32" s="1"/>
  <c r="CB32" s="1"/>
  <c r="Q78"/>
  <c r="P78" s="1"/>
  <c r="CB78" s="1"/>
  <c r="Q56"/>
  <c r="P56" s="1"/>
  <c r="CB56" s="1"/>
  <c r="Q48"/>
  <c r="P48" s="1"/>
  <c r="CB48" s="1"/>
  <c r="Q44"/>
  <c r="P44" s="1"/>
  <c r="CB44" s="1"/>
  <c r="AB160"/>
  <c r="AB164" s="1"/>
  <c r="AM139"/>
  <c r="AP139"/>
  <c r="AQ139" s="1"/>
  <c r="AJ139"/>
  <c r="AK139" s="1"/>
  <c r="AX139"/>
  <c r="AT139"/>
  <c r="AU139" s="1"/>
  <c r="AN139"/>
  <c r="AO139" s="1"/>
  <c r="AN129"/>
  <c r="AO129" s="1"/>
  <c r="AX129"/>
  <c r="AT129"/>
  <c r="AU129" s="1"/>
  <c r="AM129"/>
  <c r="AP129"/>
  <c r="AQ129" s="1"/>
  <c r="AJ129"/>
  <c r="AK129" s="1"/>
  <c r="AP140"/>
  <c r="AQ140" s="1"/>
  <c r="AX140"/>
  <c r="AM140"/>
  <c r="AT140"/>
  <c r="AU140" s="1"/>
  <c r="AN140"/>
  <c r="AO140" s="1"/>
  <c r="AJ140"/>
  <c r="AK140" s="1"/>
  <c r="AS135"/>
  <c r="AM135"/>
  <c r="AV135"/>
  <c r="AW135" s="1"/>
  <c r="O125"/>
  <c r="AG125"/>
  <c r="AK97"/>
  <c r="Q97"/>
  <c r="P97" s="1"/>
  <c r="CB97" s="1"/>
  <c r="AS70"/>
  <c r="AV70"/>
  <c r="AW70" s="1"/>
  <c r="AS57"/>
  <c r="AM57"/>
  <c r="V57"/>
  <c r="AV51"/>
  <c r="AW51" s="1"/>
  <c r="AS51"/>
  <c r="AK8"/>
  <c r="AW8"/>
  <c r="AM147"/>
  <c r="Q147" s="1"/>
  <c r="P147" s="1"/>
  <c r="CB147" s="1"/>
  <c r="AN147"/>
  <c r="AO147" s="1"/>
  <c r="AP142"/>
  <c r="AQ142" s="1"/>
  <c r="AN128"/>
  <c r="AO128" s="1"/>
  <c r="AJ128"/>
  <c r="AK128" s="1"/>
  <c r="Q133"/>
  <c r="P133" s="1"/>
  <c r="CB133" s="1"/>
  <c r="Q104"/>
  <c r="P104" s="1"/>
  <c r="CB104" s="1"/>
  <c r="Q102"/>
  <c r="P102" s="1"/>
  <c r="CB102" s="1"/>
  <c r="Q131"/>
  <c r="P131" s="1"/>
  <c r="CB131" s="1"/>
  <c r="AM130"/>
  <c r="AP135"/>
  <c r="AQ135" s="1"/>
  <c r="Q100"/>
  <c r="P100" s="1"/>
  <c r="CB100" s="1"/>
  <c r="AJ127"/>
  <c r="AK127" s="1"/>
  <c r="AM96"/>
  <c r="Q94"/>
  <c r="P94" s="1"/>
  <c r="CB94" s="1"/>
  <c r="Q121"/>
  <c r="P121" s="1"/>
  <c r="CB121" s="1"/>
  <c r="Q112"/>
  <c r="P112" s="1"/>
  <c r="CB112" s="1"/>
  <c r="Q61"/>
  <c r="P61" s="1"/>
  <c r="CB61" s="1"/>
  <c r="R160"/>
  <c r="R164" s="1"/>
  <c r="AJ96"/>
  <c r="AK96" s="1"/>
  <c r="AP57"/>
  <c r="AQ57" s="1"/>
  <c r="Q68"/>
  <c r="P68" s="1"/>
  <c r="CB68" s="1"/>
  <c r="AP65"/>
  <c r="AQ65" s="1"/>
  <c r="AM65"/>
  <c r="AJ51"/>
  <c r="AK51" s="1"/>
  <c r="AM70"/>
  <c r="Q83"/>
  <c r="P83" s="1"/>
  <c r="CB83" s="1"/>
  <c r="Q26"/>
  <c r="P26" s="1"/>
  <c r="CB26" s="1"/>
  <c r="Q62"/>
  <c r="P62" s="1"/>
  <c r="CB62" s="1"/>
  <c r="Q11"/>
  <c r="P11" s="1"/>
  <c r="CB11" s="1"/>
  <c r="Q25"/>
  <c r="P25" s="1"/>
  <c r="CB25" s="1"/>
  <c r="AN146"/>
  <c r="AO146" s="1"/>
  <c r="AX146"/>
  <c r="AT146"/>
  <c r="AU146" s="1"/>
  <c r="AJ146"/>
  <c r="AK146" s="1"/>
  <c r="AM146"/>
  <c r="AP146"/>
  <c r="AQ146" s="1"/>
  <c r="AX145"/>
  <c r="AT145"/>
  <c r="AU145" s="1"/>
  <c r="AJ145"/>
  <c r="AK145" s="1"/>
  <c r="AP145"/>
  <c r="AQ145" s="1"/>
  <c r="AN145"/>
  <c r="AO145" s="1"/>
  <c r="AM145"/>
  <c r="AS130"/>
  <c r="AV130"/>
  <c r="AW130" s="1"/>
  <c r="AS128"/>
  <c r="AM128"/>
  <c r="AV128"/>
  <c r="AW128" s="1"/>
  <c r="AX141"/>
  <c r="AT141"/>
  <c r="AU141" s="1"/>
  <c r="AN141"/>
  <c r="AO141" s="1"/>
  <c r="AM141"/>
  <c r="AP141"/>
  <c r="AQ141" s="1"/>
  <c r="AJ141"/>
  <c r="AK141" s="1"/>
  <c r="AS77"/>
  <c r="AV77"/>
  <c r="AW77" s="1"/>
  <c r="AK98"/>
  <c r="Q98"/>
  <c r="P98" s="1"/>
  <c r="CB98" s="1"/>
  <c r="AO8"/>
  <c r="V160"/>
  <c r="V164" s="1"/>
  <c r="Q8"/>
  <c r="Q111"/>
  <c r="P111" s="1"/>
  <c r="CB111" s="1"/>
  <c r="Q72"/>
  <c r="P72" s="1"/>
  <c r="CB72" s="1"/>
  <c r="Q54"/>
  <c r="P54" s="1"/>
  <c r="CB54" s="1"/>
  <c r="AX127"/>
  <c r="AM127"/>
  <c r="AS124"/>
  <c r="Q75"/>
  <c r="P75" s="1"/>
  <c r="CB75" s="1"/>
  <c r="Q119"/>
  <c r="P119" s="1"/>
  <c r="CB119" s="1"/>
  <c r="AT77"/>
  <c r="AU77" s="1"/>
  <c r="Q42"/>
  <c r="P42" s="1"/>
  <c r="CB42" s="1"/>
  <c r="U160"/>
  <c r="U164" s="1"/>
  <c r="Q58"/>
  <c r="P58" s="1"/>
  <c r="CB58" s="1"/>
  <c r="BE160"/>
  <c r="BE164" s="1"/>
  <c r="AJ65"/>
  <c r="AK65" s="1"/>
  <c r="AX65"/>
  <c r="AP51"/>
  <c r="AQ51" s="1"/>
  <c r="Q87"/>
  <c r="P87" s="1"/>
  <c r="CB87" s="1"/>
  <c r="Q52"/>
  <c r="P52" s="1"/>
  <c r="CB52" s="1"/>
  <c r="AN126"/>
  <c r="AO126" s="1"/>
  <c r="AT126"/>
  <c r="AU126" s="1"/>
  <c r="AM126"/>
  <c r="AP126"/>
  <c r="AQ126" s="1"/>
  <c r="AG130"/>
  <c r="O130"/>
  <c r="AS96"/>
  <c r="Q96" s="1"/>
  <c r="P96" s="1"/>
  <c r="CB96" s="1"/>
  <c r="AV96"/>
  <c r="AW96" s="1"/>
  <c r="AT96"/>
  <c r="AU96" s="1"/>
  <c r="AK99"/>
  <c r="Q99"/>
  <c r="P99" s="1"/>
  <c r="CB99" s="1"/>
  <c r="Q105"/>
  <c r="P105" s="1"/>
  <c r="CB105" s="1"/>
  <c r="Q103"/>
  <c r="P103" s="1"/>
  <c r="CB103" s="1"/>
  <c r="AN130"/>
  <c r="AO130" s="1"/>
  <c r="AP128"/>
  <c r="AQ128" s="1"/>
  <c r="AT127"/>
  <c r="AU127" s="1"/>
  <c r="Q134"/>
  <c r="P134" s="1"/>
  <c r="CB134" s="1"/>
  <c r="AS140"/>
  <c r="AJ77"/>
  <c r="AK77" s="1"/>
  <c r="Q63"/>
  <c r="P63" s="1"/>
  <c r="CB63" s="1"/>
  <c r="Q59"/>
  <c r="P59" s="1"/>
  <c r="CB59" s="1"/>
  <c r="BD160"/>
  <c r="Q79"/>
  <c r="P79" s="1"/>
  <c r="CB79" s="1"/>
  <c r="AP70"/>
  <c r="AQ70" s="1"/>
  <c r="AI160"/>
  <c r="AI164" s="1"/>
  <c r="AT65"/>
  <c r="AU65" s="1"/>
  <c r="AM51"/>
  <c r="AX51"/>
  <c r="Q22"/>
  <c r="P22" s="1"/>
  <c r="CB22" s="1"/>
  <c r="Q28"/>
  <c r="P28" s="1"/>
  <c r="CB28" s="1"/>
  <c r="P8" i="3"/>
  <c r="O130"/>
  <c r="O160" s="1"/>
  <c r="O164" s="1"/>
  <c r="AG130"/>
  <c r="AK102"/>
  <c r="Q102"/>
  <c r="P102" s="1"/>
  <c r="CB102" s="1"/>
  <c r="CF102" s="1"/>
  <c r="AS53"/>
  <c r="AV53"/>
  <c r="AW53" s="1"/>
  <c r="AO8"/>
  <c r="AN146"/>
  <c r="AO146" s="1"/>
  <c r="AX146"/>
  <c r="AT146"/>
  <c r="AU146" s="1"/>
  <c r="AJ146"/>
  <c r="AK146" s="1"/>
  <c r="AP146"/>
  <c r="AQ146" s="1"/>
  <c r="AM146"/>
  <c r="Q146" s="1"/>
  <c r="P146" s="1"/>
  <c r="CB146" s="1"/>
  <c r="CF146" s="1"/>
  <c r="AS134"/>
  <c r="AV134"/>
  <c r="AW134" s="1"/>
  <c r="AS130"/>
  <c r="AV130"/>
  <c r="AW130" s="1"/>
  <c r="AV67"/>
  <c r="AW67" s="1"/>
  <c r="AS67"/>
  <c r="AU8"/>
  <c r="F160"/>
  <c r="F164" s="1"/>
  <c r="AX53"/>
  <c r="Q159"/>
  <c r="P159" s="1"/>
  <c r="CB159" s="1"/>
  <c r="CF159" s="1"/>
  <c r="Q152"/>
  <c r="P152" s="1"/>
  <c r="CB152" s="1"/>
  <c r="CF152" s="1"/>
  <c r="Q142"/>
  <c r="P142" s="1"/>
  <c r="CB142" s="1"/>
  <c r="CF142" s="1"/>
  <c r="AN140"/>
  <c r="AO140" s="1"/>
  <c r="Q104"/>
  <c r="P104" s="1"/>
  <c r="CB104" s="1"/>
  <c r="CF104" s="1"/>
  <c r="Q95"/>
  <c r="P95" s="1"/>
  <c r="CB95" s="1"/>
  <c r="CF95" s="1"/>
  <c r="Q150"/>
  <c r="P150" s="1"/>
  <c r="CB150" s="1"/>
  <c r="CF150" s="1"/>
  <c r="Q155"/>
  <c r="P155" s="1"/>
  <c r="CB155" s="1"/>
  <c r="CF155" s="1"/>
  <c r="AN147"/>
  <c r="AO147" s="1"/>
  <c r="AJ125"/>
  <c r="AX132"/>
  <c r="Q132" s="1"/>
  <c r="P132" s="1"/>
  <c r="CB132" s="1"/>
  <c r="CF132" s="1"/>
  <c r="Q96"/>
  <c r="P96" s="1"/>
  <c r="CB96" s="1"/>
  <c r="CF96" s="1"/>
  <c r="Q88"/>
  <c r="P88" s="1"/>
  <c r="CB88" s="1"/>
  <c r="CF88" s="1"/>
  <c r="Q153"/>
  <c r="P153" s="1"/>
  <c r="CB153" s="1"/>
  <c r="CF153" s="1"/>
  <c r="AP134"/>
  <c r="AQ134" s="1"/>
  <c r="Q87"/>
  <c r="P87" s="1"/>
  <c r="CB87" s="1"/>
  <c r="CF87" s="1"/>
  <c r="Q124"/>
  <c r="P124" s="1"/>
  <c r="CB124" s="1"/>
  <c r="CF124" s="1"/>
  <c r="AP100"/>
  <c r="AQ100" s="1"/>
  <c r="Q98"/>
  <c r="P98" s="1"/>
  <c r="CB98" s="1"/>
  <c r="CF98" s="1"/>
  <c r="Q99"/>
  <c r="P99" s="1"/>
  <c r="CB99" s="1"/>
  <c r="CF99" s="1"/>
  <c r="Q65"/>
  <c r="P65" s="1"/>
  <c r="CB65" s="1"/>
  <c r="CF65" s="1"/>
  <c r="AM144"/>
  <c r="Q144" s="1"/>
  <c r="P144" s="1"/>
  <c r="CB144" s="1"/>
  <c r="CF144" s="1"/>
  <c r="AX67"/>
  <c r="Q43"/>
  <c r="P43" s="1"/>
  <c r="CB43" s="1"/>
  <c r="CF43" s="1"/>
  <c r="Q35"/>
  <c r="P35" s="1"/>
  <c r="CB35" s="1"/>
  <c r="CF35" s="1"/>
  <c r="Q17"/>
  <c r="P17" s="1"/>
  <c r="CB17" s="1"/>
  <c r="CF17" s="1"/>
  <c r="Q14"/>
  <c r="P14" s="1"/>
  <c r="CB14" s="1"/>
  <c r="CF14" s="1"/>
  <c r="W160"/>
  <c r="W164" s="1"/>
  <c r="Q82"/>
  <c r="P82" s="1"/>
  <c r="CB82" s="1"/>
  <c r="CF82" s="1"/>
  <c r="Q80"/>
  <c r="P80" s="1"/>
  <c r="CB80" s="1"/>
  <c r="CF80" s="1"/>
  <c r="AP67"/>
  <c r="AQ67" s="1"/>
  <c r="Q64"/>
  <c r="P64" s="1"/>
  <c r="CB64" s="1"/>
  <c r="CF64" s="1"/>
  <c r="Q105"/>
  <c r="P105" s="1"/>
  <c r="CB105" s="1"/>
  <c r="CF105" s="1"/>
  <c r="AP130"/>
  <c r="AQ130" s="1"/>
  <c r="AM57"/>
  <c r="Q38"/>
  <c r="P38" s="1"/>
  <c r="CB38" s="1"/>
  <c r="CF38" s="1"/>
  <c r="Q41"/>
  <c r="P41" s="1"/>
  <c r="CB41" s="1"/>
  <c r="CF41" s="1"/>
  <c r="Q39"/>
  <c r="P39" s="1"/>
  <c r="CB39" s="1"/>
  <c r="CF39" s="1"/>
  <c r="AT53"/>
  <c r="AU53" s="1"/>
  <c r="AM53"/>
  <c r="AX141"/>
  <c r="AT141"/>
  <c r="AU141" s="1"/>
  <c r="AJ141"/>
  <c r="AK141" s="1"/>
  <c r="AM141"/>
  <c r="AN141"/>
  <c r="AO141" s="1"/>
  <c r="AP141"/>
  <c r="AQ141" s="1"/>
  <c r="AM127"/>
  <c r="Q127" s="1"/>
  <c r="P127" s="1"/>
  <c r="CB127" s="1"/>
  <c r="CF127" s="1"/>
  <c r="AX127"/>
  <c r="AT127"/>
  <c r="AU127" s="1"/>
  <c r="AN127"/>
  <c r="AO127" s="1"/>
  <c r="AP127"/>
  <c r="AQ127" s="1"/>
  <c r="AJ127"/>
  <c r="AK127" s="1"/>
  <c r="AN139"/>
  <c r="AO139" s="1"/>
  <c r="AP139"/>
  <c r="AQ139" s="1"/>
  <c r="AM139"/>
  <c r="AT139"/>
  <c r="AU139" s="1"/>
  <c r="AJ139"/>
  <c r="AK139" s="1"/>
  <c r="AX139"/>
  <c r="AV140"/>
  <c r="AW140" s="1"/>
  <c r="AS140"/>
  <c r="AX138"/>
  <c r="AT138"/>
  <c r="AU138" s="1"/>
  <c r="AJ138"/>
  <c r="AK138" s="1"/>
  <c r="AM138"/>
  <c r="AN138"/>
  <c r="AO138" s="1"/>
  <c r="AP138"/>
  <c r="AQ138" s="1"/>
  <c r="AV70"/>
  <c r="AW70" s="1"/>
  <c r="AS70"/>
  <c r="AV78"/>
  <c r="AW78" s="1"/>
  <c r="AS78"/>
  <c r="P12"/>
  <c r="CB12" s="1"/>
  <c r="CF12" s="1"/>
  <c r="Q51"/>
  <c r="P51" s="1"/>
  <c r="CB51" s="1"/>
  <c r="CF51" s="1"/>
  <c r="AP140"/>
  <c r="AQ140" s="1"/>
  <c r="Q121"/>
  <c r="P121" s="1"/>
  <c r="CB121" s="1"/>
  <c r="CF121" s="1"/>
  <c r="Q66"/>
  <c r="P66" s="1"/>
  <c r="CB66" s="1"/>
  <c r="CF66" s="1"/>
  <c r="AG160"/>
  <c r="AG164" s="1"/>
  <c r="AS57"/>
  <c r="Q23"/>
  <c r="P23" s="1"/>
  <c r="CB23" s="1"/>
  <c r="CF23" s="1"/>
  <c r="Q94"/>
  <c r="P94" s="1"/>
  <c r="CB94" s="1"/>
  <c r="CF94" s="1"/>
  <c r="Q83"/>
  <c r="P83" s="1"/>
  <c r="CB83" s="1"/>
  <c r="CF83" s="1"/>
  <c r="Q81"/>
  <c r="P81" s="1"/>
  <c r="CB81" s="1"/>
  <c r="CF81" s="1"/>
  <c r="Q79"/>
  <c r="P79" s="1"/>
  <c r="CB79" s="1"/>
  <c r="CF79" s="1"/>
  <c r="Q72"/>
  <c r="P72" s="1"/>
  <c r="CB72" s="1"/>
  <c r="CF72" s="1"/>
  <c r="AN70"/>
  <c r="AO70" s="1"/>
  <c r="R160"/>
  <c r="R164" s="1"/>
  <c r="AM78"/>
  <c r="AT67"/>
  <c r="AU67" s="1"/>
  <c r="BD160"/>
  <c r="Q60"/>
  <c r="P60" s="1"/>
  <c r="CB60" s="1"/>
  <c r="CF60" s="1"/>
  <c r="AJ70"/>
  <c r="AK70" s="1"/>
  <c r="Q31"/>
  <c r="P31" s="1"/>
  <c r="CB31" s="1"/>
  <c r="CF31" s="1"/>
  <c r="AJ67"/>
  <c r="AK67" s="1"/>
  <c r="AP53"/>
  <c r="AQ53" s="1"/>
  <c r="AN53"/>
  <c r="AO53" s="1"/>
  <c r="AK137"/>
  <c r="Q137"/>
  <c r="P137" s="1"/>
  <c r="CB137" s="1"/>
  <c r="CF137" s="1"/>
  <c r="AN129"/>
  <c r="AO129" s="1"/>
  <c r="AT129"/>
  <c r="AU129" s="1"/>
  <c r="AM129"/>
  <c r="AX129"/>
  <c r="AP129"/>
  <c r="AQ129" s="1"/>
  <c r="AJ129"/>
  <c r="AK129" s="1"/>
  <c r="V57"/>
  <c r="AT57"/>
  <c r="AU57" s="1"/>
  <c r="AJ57"/>
  <c r="AK57" s="1"/>
  <c r="AN57"/>
  <c r="AO57" s="1"/>
  <c r="AK8"/>
  <c r="AP143"/>
  <c r="AQ143" s="1"/>
  <c r="AN143"/>
  <c r="AO143" s="1"/>
  <c r="AX143"/>
  <c r="AT143"/>
  <c r="AU143" s="1"/>
  <c r="AJ143"/>
  <c r="AK143" s="1"/>
  <c r="AM143"/>
  <c r="Q143" s="1"/>
  <c r="P143" s="1"/>
  <c r="CB143" s="1"/>
  <c r="CF143" s="1"/>
  <c r="AX145"/>
  <c r="AT145"/>
  <c r="AU145" s="1"/>
  <c r="AJ145"/>
  <c r="AK145" s="1"/>
  <c r="AP145"/>
  <c r="AQ145" s="1"/>
  <c r="AM145"/>
  <c r="AN145"/>
  <c r="AO145" s="1"/>
  <c r="AK128"/>
  <c r="Q128"/>
  <c r="P128" s="1"/>
  <c r="CB128" s="1"/>
  <c r="CF128" s="1"/>
  <c r="AN126"/>
  <c r="AO126" s="1"/>
  <c r="AT126"/>
  <c r="AU126" s="1"/>
  <c r="AM126"/>
  <c r="AX126"/>
  <c r="Q126" s="1"/>
  <c r="P126" s="1"/>
  <c r="CB126" s="1"/>
  <c r="CF126" s="1"/>
  <c r="AP126"/>
  <c r="AQ126" s="1"/>
  <c r="AJ126"/>
  <c r="AK126" s="1"/>
  <c r="AV100"/>
  <c r="AW100" s="1"/>
  <c r="AS100"/>
  <c r="AJ100"/>
  <c r="Q85"/>
  <c r="P85" s="1"/>
  <c r="CB85" s="1"/>
  <c r="CF85" s="1"/>
  <c r="Q76"/>
  <c r="P76" s="1"/>
  <c r="CB76" s="1"/>
  <c r="CF76" s="1"/>
  <c r="AP57"/>
  <c r="AQ57" s="1"/>
  <c r="Q156"/>
  <c r="P156" s="1"/>
  <c r="CB156" s="1"/>
  <c r="CF156" s="1"/>
  <c r="AM147"/>
  <c r="Q147" s="1"/>
  <c r="P147" s="1"/>
  <c r="CB147" s="1"/>
  <c r="CF147" s="1"/>
  <c r="Q89"/>
  <c r="P89" s="1"/>
  <c r="CB89" s="1"/>
  <c r="CF89" s="1"/>
  <c r="Q151"/>
  <c r="P151" s="1"/>
  <c r="CB151" s="1"/>
  <c r="CF151" s="1"/>
  <c r="AS138"/>
  <c r="AS143"/>
  <c r="Q158"/>
  <c r="P158" s="1"/>
  <c r="CB158" s="1"/>
  <c r="CF158" s="1"/>
  <c r="Q157"/>
  <c r="P157" s="1"/>
  <c r="CB157" s="1"/>
  <c r="CF157" s="1"/>
  <c r="AX140"/>
  <c r="Q123"/>
  <c r="P123" s="1"/>
  <c r="CB123" s="1"/>
  <c r="CF123" s="1"/>
  <c r="Q120"/>
  <c r="P120" s="1"/>
  <c r="CB120" s="1"/>
  <c r="CF120" s="1"/>
  <c r="P115"/>
  <c r="CB115" s="1"/>
  <c r="CF115" s="1"/>
  <c r="AT78"/>
  <c r="AU78" s="1"/>
  <c r="Q69"/>
  <c r="P69" s="1"/>
  <c r="CB69" s="1"/>
  <c r="CF69" s="1"/>
  <c r="P20"/>
  <c r="CB20" s="1"/>
  <c r="CF20" s="1"/>
  <c r="BE160"/>
  <c r="BE164" s="1"/>
  <c r="AM134"/>
  <c r="Q134" s="1"/>
  <c r="P134" s="1"/>
  <c r="CB134" s="1"/>
  <c r="CF134" s="1"/>
  <c r="Q77"/>
  <c r="P77" s="1"/>
  <c r="CB77" s="1"/>
  <c r="CF77" s="1"/>
  <c r="Q78"/>
  <c r="P78" s="1"/>
  <c r="CB78" s="1"/>
  <c r="CF78" s="1"/>
  <c r="AT70"/>
  <c r="AU70" s="1"/>
  <c r="Q103"/>
  <c r="P103" s="1"/>
  <c r="CB103" s="1"/>
  <c r="CF103" s="1"/>
  <c r="Q73"/>
  <c r="P73" s="1"/>
  <c r="CB73" s="1"/>
  <c r="CF73" s="1"/>
  <c r="Q42"/>
  <c r="P42" s="1"/>
  <c r="CB42" s="1"/>
  <c r="CF42" s="1"/>
  <c r="AJ53"/>
  <c r="AK53" s="1"/>
  <c r="AB160"/>
  <c r="AB164" s="1"/>
  <c r="Q40"/>
  <c r="P40" s="1"/>
  <c r="CB40" s="1"/>
  <c r="CF40" s="1"/>
  <c r="Q55"/>
  <c r="P55" s="1"/>
  <c r="CB55" s="1"/>
  <c r="CF55" s="1"/>
  <c r="H21" i="2"/>
  <c r="I21" s="1"/>
  <c r="D17"/>
  <c r="H19"/>
  <c r="I19" s="1"/>
  <c r="I20"/>
  <c r="AJ130" i="6" l="1"/>
  <c r="AX130"/>
  <c r="AS160"/>
  <c r="AS164" s="1"/>
  <c r="Q57"/>
  <c r="P57" s="1"/>
  <c r="CB57" s="1"/>
  <c r="CF57" s="1"/>
  <c r="AT160"/>
  <c r="AT164" s="1"/>
  <c r="Q143"/>
  <c r="P143" s="1"/>
  <c r="CB143" s="1"/>
  <c r="CF143" s="1"/>
  <c r="Q134"/>
  <c r="P134" s="1"/>
  <c r="CB134" s="1"/>
  <c r="CF134" s="1"/>
  <c r="Q71"/>
  <c r="P71" s="1"/>
  <c r="CB71" s="1"/>
  <c r="CF71" s="1"/>
  <c r="AQ160"/>
  <c r="AQ164" s="1"/>
  <c r="Q77"/>
  <c r="P77" s="1"/>
  <c r="CB77" s="1"/>
  <c r="CF77" s="1"/>
  <c r="Q70" i="3"/>
  <c r="P70" s="1"/>
  <c r="CB70" s="1"/>
  <c r="CF70" s="1"/>
  <c r="Q138"/>
  <c r="P138" s="1"/>
  <c r="CB138" s="1"/>
  <c r="CF138" s="1"/>
  <c r="Q140"/>
  <c r="P140" s="1"/>
  <c r="CB140" s="1"/>
  <c r="CF140" s="1"/>
  <c r="AP160"/>
  <c r="AP164" s="1"/>
  <c r="AQ160"/>
  <c r="AQ164" s="1"/>
  <c r="AM160"/>
  <c r="AM164" s="1"/>
  <c r="AS160"/>
  <c r="AS164" s="1"/>
  <c r="Q57"/>
  <c r="P57" s="1"/>
  <c r="CB57" s="1"/>
  <c r="CF57" s="1"/>
  <c r="AW160"/>
  <c r="AW164" s="1"/>
  <c r="F11" i="7"/>
  <c r="B75"/>
  <c r="F75" s="1"/>
  <c r="J91"/>
  <c r="K90"/>
  <c r="K91" s="1"/>
  <c r="Q70" i="5"/>
  <c r="P70" s="1"/>
  <c r="CB70" s="1"/>
  <c r="AJ126"/>
  <c r="AK126" s="1"/>
  <c r="Q142"/>
  <c r="P142" s="1"/>
  <c r="CB142" s="1"/>
  <c r="AJ126" i="6"/>
  <c r="AX126"/>
  <c r="BD164"/>
  <c r="BC160"/>
  <c r="BC164" s="1"/>
  <c r="Q33"/>
  <c r="P33" s="1"/>
  <c r="CB33" s="1"/>
  <c r="CF33" s="1"/>
  <c r="AP160"/>
  <c r="AP164" s="1"/>
  <c r="Q127"/>
  <c r="P127" s="1"/>
  <c r="CB127" s="1"/>
  <c r="CF127" s="1"/>
  <c r="Q140"/>
  <c r="P140" s="1"/>
  <c r="CB140" s="1"/>
  <c r="CF140" s="1"/>
  <c r="AO160"/>
  <c r="AO164" s="1"/>
  <c r="Q146"/>
  <c r="P146" s="1"/>
  <c r="CB146" s="1"/>
  <c r="CF146" s="1"/>
  <c r="Q139"/>
  <c r="P139" s="1"/>
  <c r="CB139" s="1"/>
  <c r="CF139" s="1"/>
  <c r="AX124"/>
  <c r="Q53"/>
  <c r="P53" s="1"/>
  <c r="CB53" s="1"/>
  <c r="CF53" s="1"/>
  <c r="AV160"/>
  <c r="AV164" s="1"/>
  <c r="Q125"/>
  <c r="P125" s="1"/>
  <c r="CB125" s="1"/>
  <c r="CF125" s="1"/>
  <c r="V160"/>
  <c r="V164" s="1"/>
  <c r="AW160"/>
  <c r="AW164" s="1"/>
  <c r="P8"/>
  <c r="AJ129"/>
  <c r="AX129"/>
  <c r="AU160"/>
  <c r="AU164" s="1"/>
  <c r="Q135"/>
  <c r="P135" s="1"/>
  <c r="CB135" s="1"/>
  <c r="CF135" s="1"/>
  <c r="AJ124"/>
  <c r="AJ160"/>
  <c r="AJ164" s="1"/>
  <c r="AK147"/>
  <c r="Q147"/>
  <c r="P147" s="1"/>
  <c r="CB147" s="1"/>
  <c r="CF147" s="1"/>
  <c r="Q142"/>
  <c r="P142" s="1"/>
  <c r="CB142" s="1"/>
  <c r="CF142" s="1"/>
  <c r="AN160"/>
  <c r="AN164" s="1"/>
  <c r="Q51" i="5"/>
  <c r="P51" s="1"/>
  <c r="CB51" s="1"/>
  <c r="Q65"/>
  <c r="P65" s="1"/>
  <c r="CB65" s="1"/>
  <c r="Q140"/>
  <c r="P140" s="1"/>
  <c r="CB140" s="1"/>
  <c r="Q127"/>
  <c r="P127" s="1"/>
  <c r="CB127" s="1"/>
  <c r="Q124"/>
  <c r="P124" s="1"/>
  <c r="CB124" s="1"/>
  <c r="Q145"/>
  <c r="P145" s="1"/>
  <c r="CB145" s="1"/>
  <c r="AM160"/>
  <c r="AM164" s="1"/>
  <c r="AS160"/>
  <c r="AS164" s="1"/>
  <c r="Q135"/>
  <c r="P135" s="1"/>
  <c r="CB135" s="1"/>
  <c r="O160"/>
  <c r="O164" s="1"/>
  <c r="AJ125"/>
  <c r="AX125"/>
  <c r="AN160"/>
  <c r="AN164" s="1"/>
  <c r="AV160"/>
  <c r="AV164" s="1"/>
  <c r="Q129"/>
  <c r="P129" s="1"/>
  <c r="CB129" s="1"/>
  <c r="Q139"/>
  <c r="P139" s="1"/>
  <c r="CB139" s="1"/>
  <c r="AT160"/>
  <c r="AT164" s="1"/>
  <c r="Q138"/>
  <c r="P138" s="1"/>
  <c r="CB138" s="1"/>
  <c r="AO160"/>
  <c r="AO164" s="1"/>
  <c r="AW160"/>
  <c r="AW164" s="1"/>
  <c r="AU160"/>
  <c r="AU164" s="1"/>
  <c r="AG160"/>
  <c r="AG164" s="1"/>
  <c r="BC160"/>
  <c r="BC164" s="1"/>
  <c r="BD164"/>
  <c r="AX130"/>
  <c r="AJ130"/>
  <c r="Q77"/>
  <c r="P77" s="1"/>
  <c r="CB77" s="1"/>
  <c r="Q33"/>
  <c r="P33" s="1"/>
  <c r="CB33" s="1"/>
  <c r="AP160"/>
  <c r="AP164" s="1"/>
  <c r="P8"/>
  <c r="Q141"/>
  <c r="P141" s="1"/>
  <c r="CB141" s="1"/>
  <c r="Q146"/>
  <c r="P146" s="1"/>
  <c r="CB146" s="1"/>
  <c r="Q57"/>
  <c r="P57" s="1"/>
  <c r="CB57" s="1"/>
  <c r="AQ160"/>
  <c r="AQ164" s="1"/>
  <c r="Q128"/>
  <c r="P128" s="1"/>
  <c r="CB128" s="1"/>
  <c r="AK125" i="3"/>
  <c r="Q125"/>
  <c r="P125" s="1"/>
  <c r="CB125" s="1"/>
  <c r="CF125" s="1"/>
  <c r="AJ130"/>
  <c r="AX130"/>
  <c r="AX160" s="1"/>
  <c r="AX164" s="1"/>
  <c r="Q129"/>
  <c r="P129" s="1"/>
  <c r="CB129" s="1"/>
  <c r="CF129" s="1"/>
  <c r="Q141"/>
  <c r="P141" s="1"/>
  <c r="CB141" s="1"/>
  <c r="CF141" s="1"/>
  <c r="AV160"/>
  <c r="AV164" s="1"/>
  <c r="Q53"/>
  <c r="P53" s="1"/>
  <c r="CB53" s="1"/>
  <c r="CF53" s="1"/>
  <c r="Q67"/>
  <c r="P67" s="1"/>
  <c r="CB67" s="1"/>
  <c r="CF67" s="1"/>
  <c r="Q145"/>
  <c r="P145" s="1"/>
  <c r="CB145" s="1"/>
  <c r="CF145" s="1"/>
  <c r="Q139"/>
  <c r="P139" s="1"/>
  <c r="CB139" s="1"/>
  <c r="CF139" s="1"/>
  <c r="V160"/>
  <c r="V164" s="1"/>
  <c r="AT160"/>
  <c r="AT164" s="1"/>
  <c r="BC160"/>
  <c r="BC164" s="1"/>
  <c r="BD164"/>
  <c r="AU160"/>
  <c r="AU164" s="1"/>
  <c r="AN160"/>
  <c r="AN164" s="1"/>
  <c r="AO160"/>
  <c r="AO164" s="1"/>
  <c r="AK100"/>
  <c r="Q100"/>
  <c r="P100" s="1"/>
  <c r="CB100" s="1"/>
  <c r="CF100" s="1"/>
  <c r="CB8"/>
  <c r="CF8" s="1"/>
  <c r="AK130" i="6" l="1"/>
  <c r="Q130"/>
  <c r="P130" s="1"/>
  <c r="CB130" s="1"/>
  <c r="CF130" s="1"/>
  <c r="AX160"/>
  <c r="AX164" s="1"/>
  <c r="B91" i="7"/>
  <c r="F91" s="1"/>
  <c r="Q126" i="5"/>
  <c r="P126" s="1"/>
  <c r="CB126" s="1"/>
  <c r="AK124" i="6"/>
  <c r="Q124"/>
  <c r="P124" s="1"/>
  <c r="CB124" s="1"/>
  <c r="CF124" s="1"/>
  <c r="AK129"/>
  <c r="Q129"/>
  <c r="P129" s="1"/>
  <c r="CB129" s="1"/>
  <c r="CF129" s="1"/>
  <c r="AK126"/>
  <c r="Q126"/>
  <c r="P126" s="1"/>
  <c r="CB126" s="1"/>
  <c r="CF126" s="1"/>
  <c r="CB8"/>
  <c r="CF8" s="1"/>
  <c r="AJ160" i="5"/>
  <c r="AJ164" s="1"/>
  <c r="AX160"/>
  <c r="AX164" s="1"/>
  <c r="CB8"/>
  <c r="AK130"/>
  <c r="Q130"/>
  <c r="P130" s="1"/>
  <c r="CB130" s="1"/>
  <c r="AK125"/>
  <c r="Q125"/>
  <c r="AK130" i="3"/>
  <c r="AK160" s="1"/>
  <c r="AK164" s="1"/>
  <c r="Q130"/>
  <c r="P130" s="1"/>
  <c r="CB130" s="1"/>
  <c r="CF130" s="1"/>
  <c r="AJ160"/>
  <c r="AJ164" s="1"/>
  <c r="P160" i="6" l="1"/>
  <c r="Q160"/>
  <c r="Q164" s="1"/>
  <c r="AK160"/>
  <c r="AK164" s="1"/>
  <c r="P125" i="5"/>
  <c r="Q160"/>
  <c r="Q164" s="1"/>
  <c r="AK160"/>
  <c r="AK164" s="1"/>
  <c r="P160" i="3"/>
  <c r="Q160"/>
  <c r="Q164" s="1"/>
  <c r="P164" i="6" l="1"/>
  <c r="CB160"/>
  <c r="CB125" i="5"/>
  <c r="P160"/>
  <c r="P164" i="3"/>
  <c r="CB160"/>
  <c r="CB164" i="6" l="1"/>
  <c r="CF160"/>
  <c r="CF164" s="1"/>
  <c r="P164" i="5"/>
  <c r="CB160"/>
  <c r="CF160" i="3"/>
  <c r="CF164" s="1"/>
  <c r="CB164"/>
  <c r="CB164" i="5" l="1"/>
</calcChain>
</file>

<file path=xl/sharedStrings.xml><?xml version="1.0" encoding="utf-8"?>
<sst xmlns="http://schemas.openxmlformats.org/spreadsheetml/2006/main" count="2624" uniqueCount="594">
  <si>
    <t>2023年预算表格</t>
  </si>
  <si>
    <t>三、</t>
  </si>
  <si>
    <t>新邵县2023年财政预算草案编制说明</t>
  </si>
  <si>
    <t>二、</t>
  </si>
  <si>
    <t>新邵县2022年财政预算执行情况和2023年财政预算草案</t>
  </si>
  <si>
    <t>一、</t>
  </si>
  <si>
    <t>目录</t>
  </si>
  <si>
    <r>
      <rPr>
        <b/>
        <sz val="22"/>
        <rFont val="宋体"/>
        <family val="3"/>
        <charset val="134"/>
      </rPr>
      <t>新邵县</t>
    </r>
    <r>
      <rPr>
        <b/>
        <sz val="22"/>
        <rFont val="Times New Roman"/>
        <family val="1"/>
      </rPr>
      <t>2023</t>
    </r>
    <r>
      <rPr>
        <b/>
        <sz val="22"/>
        <rFont val="宋体"/>
        <family val="3"/>
        <charset val="134"/>
      </rPr>
      <t>年一般公共预算收入表</t>
    </r>
  </si>
  <si>
    <t>表一</t>
  </si>
  <si>
    <t>金额单位：万元</t>
  </si>
  <si>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3"/>
        <charset val="134"/>
      </rPr>
      <t>目</t>
    </r>
  </si>
  <si>
    <t>上年完成</t>
  </si>
  <si>
    <t>本年预算</t>
  </si>
  <si>
    <r>
      <rPr>
        <sz val="11"/>
        <rFont val="宋体"/>
        <family val="3"/>
        <charset val="134"/>
      </rPr>
      <t>同比增长</t>
    </r>
    <r>
      <rPr>
        <sz val="11"/>
        <rFont val="Times New Roman"/>
        <family val="1"/>
      </rPr>
      <t>%</t>
    </r>
  </si>
  <si>
    <r>
      <rPr>
        <sz val="11"/>
        <rFont val="宋体"/>
        <family val="3"/>
        <charset val="134"/>
      </rPr>
      <t>备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注</t>
    </r>
  </si>
  <si>
    <r>
      <rPr>
        <sz val="11"/>
        <rFont val="宋体"/>
        <family val="3"/>
        <charset val="134"/>
      </rPr>
      <t>备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3"/>
        <charset val="134"/>
      </rPr>
      <t>注</t>
    </r>
  </si>
  <si>
    <t>一、税收收入</t>
  </si>
  <si>
    <r>
      <rPr>
        <sz val="11"/>
        <rFont val="Times New Roman"/>
        <family val="1"/>
      </rPr>
      <t xml:space="preserve">    5.</t>
    </r>
    <r>
      <rPr>
        <sz val="11"/>
        <rFont val="宋体"/>
        <family val="3"/>
        <charset val="134"/>
      </rPr>
      <t>专项收入</t>
    </r>
  </si>
  <si>
    <r>
      <rPr>
        <sz val="11"/>
        <rFont val="Times New Roman"/>
        <family val="1"/>
      </rPr>
      <t xml:space="preserve">     1.</t>
    </r>
    <r>
      <rPr>
        <sz val="11"/>
        <rFont val="宋体"/>
        <family val="3"/>
        <charset val="134"/>
      </rPr>
      <t>增值税</t>
    </r>
  </si>
  <si>
    <t>其中：残保金</t>
  </si>
  <si>
    <r>
      <rPr>
        <sz val="11"/>
        <rFont val="Times New Roman"/>
        <family val="1"/>
      </rPr>
      <t xml:space="preserve">     2.</t>
    </r>
    <r>
      <rPr>
        <sz val="11"/>
        <rFont val="宋体"/>
        <family val="3"/>
        <charset val="134"/>
      </rPr>
      <t>城建税</t>
    </r>
  </si>
  <si>
    <t xml:space="preserve">    地方教育附加</t>
  </si>
  <si>
    <r>
      <rPr>
        <sz val="11"/>
        <rFont val="Times New Roman"/>
        <family val="1"/>
      </rPr>
      <t xml:space="preserve">     3. </t>
    </r>
    <r>
      <rPr>
        <sz val="11"/>
        <rFont val="宋体"/>
        <family val="3"/>
        <charset val="134"/>
      </rPr>
      <t>个人所得税</t>
    </r>
  </si>
  <si>
    <t xml:space="preserve">    教育费附加</t>
  </si>
  <si>
    <r>
      <rPr>
        <sz val="11"/>
        <rFont val="Times New Roman"/>
        <family val="1"/>
      </rPr>
      <t xml:space="preserve">     4.</t>
    </r>
    <r>
      <rPr>
        <sz val="11"/>
        <rFont val="宋体"/>
        <family val="3"/>
        <charset val="134"/>
      </rPr>
      <t>企业所得税</t>
    </r>
  </si>
  <si>
    <r>
      <rPr>
        <sz val="11"/>
        <rFont val="Times New Roman"/>
        <family val="1"/>
      </rPr>
      <t xml:space="preserve">   6.</t>
    </r>
    <r>
      <rPr>
        <sz val="11"/>
        <rFont val="宋体"/>
        <family val="3"/>
        <charset val="134"/>
      </rPr>
      <t>捐赠收入</t>
    </r>
  </si>
  <si>
    <r>
      <rPr>
        <sz val="11"/>
        <rFont val="Times New Roman"/>
        <family val="1"/>
      </rPr>
      <t xml:space="preserve">     5.</t>
    </r>
    <r>
      <rPr>
        <sz val="11"/>
        <rFont val="宋体"/>
        <family val="3"/>
        <charset val="134"/>
      </rPr>
      <t>耕地占用税</t>
    </r>
  </si>
  <si>
    <r>
      <rPr>
        <sz val="11"/>
        <rFont val="Times New Roman"/>
        <family val="1"/>
      </rPr>
      <t xml:space="preserve">     6.</t>
    </r>
    <r>
      <rPr>
        <sz val="11"/>
        <rFont val="宋体"/>
        <family val="3"/>
        <charset val="134"/>
      </rPr>
      <t>契税</t>
    </r>
  </si>
  <si>
    <t>一般预算收入合计</t>
  </si>
  <si>
    <r>
      <rPr>
        <sz val="11"/>
        <rFont val="Times New Roman"/>
        <family val="1"/>
      </rPr>
      <t xml:space="preserve">     7.</t>
    </r>
    <r>
      <rPr>
        <sz val="11"/>
        <rFont val="宋体"/>
        <family val="3"/>
        <charset val="134"/>
      </rPr>
      <t>资源税</t>
    </r>
  </si>
  <si>
    <r>
      <rPr>
        <sz val="11"/>
        <rFont val="Times New Roman"/>
        <family val="1"/>
      </rPr>
      <t xml:space="preserve">     8.</t>
    </r>
    <r>
      <rPr>
        <sz val="11"/>
        <rFont val="宋体"/>
        <family val="3"/>
        <charset val="134"/>
      </rPr>
      <t>城镇土地使用税</t>
    </r>
  </si>
  <si>
    <t>上划“增值税”收入</t>
  </si>
  <si>
    <r>
      <rPr>
        <sz val="11"/>
        <rFont val="Times New Roman"/>
        <family val="1"/>
      </rPr>
      <t xml:space="preserve">     9.</t>
    </r>
    <r>
      <rPr>
        <sz val="11"/>
        <rFont val="宋体"/>
        <family val="3"/>
        <charset val="134"/>
      </rPr>
      <t>环境保护税</t>
    </r>
  </si>
  <si>
    <r>
      <rPr>
        <b/>
        <sz val="11"/>
        <rFont val="宋体"/>
        <family val="3"/>
        <charset val="134"/>
      </rPr>
      <t>上划所得税</t>
    </r>
    <r>
      <rPr>
        <b/>
        <sz val="11"/>
        <rFont val="Times New Roman"/>
        <family val="1"/>
      </rPr>
      <t>72%</t>
    </r>
  </si>
  <si>
    <r>
      <rPr>
        <sz val="11"/>
        <rFont val="Times New Roman"/>
        <family val="1"/>
      </rPr>
      <t xml:space="preserve">     10.</t>
    </r>
    <r>
      <rPr>
        <sz val="11"/>
        <rFont val="宋体"/>
        <family val="3"/>
        <charset val="134"/>
      </rPr>
      <t>其他各税</t>
    </r>
  </si>
  <si>
    <t>上划“消费税”收入</t>
  </si>
  <si>
    <t>上划环境保护税</t>
  </si>
  <si>
    <t>上划省级城镇土地使用税30%</t>
  </si>
  <si>
    <t>二、非税收入</t>
  </si>
  <si>
    <t>上划省级资源税25%</t>
  </si>
  <si>
    <r>
      <rPr>
        <sz val="11"/>
        <rFont val="Times New Roman"/>
        <family val="1"/>
      </rPr>
      <t xml:space="preserve">    1.</t>
    </r>
    <r>
      <rPr>
        <sz val="11"/>
        <rFont val="宋体"/>
        <family val="3"/>
        <charset val="134"/>
      </rPr>
      <t>国有资源有偿收入</t>
    </r>
  </si>
  <si>
    <r>
      <rPr>
        <sz val="11"/>
        <rFont val="Times New Roman"/>
        <family val="1"/>
      </rPr>
      <t xml:space="preserve">    2.</t>
    </r>
    <r>
      <rPr>
        <sz val="11"/>
        <rFont val="宋体"/>
        <family val="3"/>
        <charset val="134"/>
      </rPr>
      <t>行政性收费</t>
    </r>
  </si>
  <si>
    <t>财政总收入</t>
  </si>
  <si>
    <r>
      <rPr>
        <sz val="11"/>
        <rFont val="Times New Roman"/>
        <family val="1"/>
      </rPr>
      <t xml:space="preserve">    3.</t>
    </r>
    <r>
      <rPr>
        <sz val="11"/>
        <rFont val="宋体"/>
        <family val="3"/>
        <charset val="134"/>
      </rPr>
      <t>罚没收入</t>
    </r>
  </si>
  <si>
    <t>税     收</t>
  </si>
  <si>
    <r>
      <rPr>
        <sz val="11"/>
        <rFont val="Times New Roman"/>
        <family val="1"/>
      </rPr>
      <t xml:space="preserve">    4.</t>
    </r>
    <r>
      <rPr>
        <sz val="11"/>
        <rFont val="宋体"/>
        <family val="3"/>
        <charset val="134"/>
      </rPr>
      <t>其他收入</t>
    </r>
  </si>
  <si>
    <r>
      <rPr>
        <sz val="11"/>
        <rFont val="宋体"/>
        <family val="3"/>
        <charset val="134"/>
      </rPr>
      <t>非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3"/>
        <charset val="134"/>
      </rPr>
      <t>税</t>
    </r>
  </si>
  <si>
    <t>2023年一般公共预算支出表（按单位和经济科目分类）</t>
  </si>
  <si>
    <t>表三</t>
  </si>
  <si>
    <t>金额单位:万元</t>
  </si>
  <si>
    <t>序号</t>
  </si>
  <si>
    <t>类别</t>
  </si>
  <si>
    <t>单位名称</t>
  </si>
  <si>
    <t>在职全额人数</t>
  </si>
  <si>
    <t>在职差额人数</t>
  </si>
  <si>
    <t>离休人数</t>
  </si>
  <si>
    <t>退休人数</t>
  </si>
  <si>
    <t>人数总计</t>
  </si>
  <si>
    <t>基本支出（经费拨款）</t>
  </si>
  <si>
    <t>专项支出</t>
  </si>
  <si>
    <t>非税核拨（专项）</t>
  </si>
  <si>
    <t>上级专项指标</t>
  </si>
  <si>
    <t>新增一般债券安排支出</t>
  </si>
  <si>
    <t>一般公共预算总计</t>
  </si>
  <si>
    <t>政府性基金</t>
  </si>
  <si>
    <t>财政专户管理</t>
  </si>
  <si>
    <t>经营性收入</t>
  </si>
  <si>
    <t>预算总计（含部门）</t>
  </si>
  <si>
    <t>基本支出合计</t>
  </si>
  <si>
    <t>工资福利支出</t>
  </si>
  <si>
    <t>商品和服务支出</t>
  </si>
  <si>
    <t>对个人和家庭的补助</t>
  </si>
  <si>
    <t>合计</t>
  </si>
  <si>
    <t>2022年10月工资基数</t>
  </si>
  <si>
    <t>2022年10月工资基数（公务员及机关工勤人员）</t>
  </si>
  <si>
    <t>2022年10月工资基数（事业人员及事业工勤人员）</t>
  </si>
  <si>
    <t>基本工资</t>
  </si>
  <si>
    <t>津贴补贴</t>
  </si>
  <si>
    <t>奖金</t>
  </si>
  <si>
    <t>2022年10月基础绩效奖</t>
  </si>
  <si>
    <t>伙食补助费</t>
  </si>
  <si>
    <t>绩效工资</t>
  </si>
  <si>
    <t>机关事业单位基本养老保险缴费</t>
  </si>
  <si>
    <t>职业年金缴费</t>
  </si>
  <si>
    <t>职工基本医疗保险缴费（医疗+生育+大病）</t>
  </si>
  <si>
    <t>公务员医疗补助缴费</t>
  </si>
  <si>
    <t>其他社会保障缴费（失业+工伤）</t>
  </si>
  <si>
    <t>住房公积金</t>
  </si>
  <si>
    <t>医疗费</t>
  </si>
  <si>
    <t>其它工资福利支出</t>
  </si>
  <si>
    <t>一般公务费</t>
  </si>
  <si>
    <t>公务交通补贴</t>
  </si>
  <si>
    <t>2022年10月份公务交通补贴</t>
  </si>
  <si>
    <t>业务工作费</t>
  </si>
  <si>
    <t>非税核拨经费（基本支出）</t>
  </si>
  <si>
    <t>离（退）休费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</si>
  <si>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</si>
  <si>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</si>
  <si>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</si>
  <si>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</si>
  <si>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</si>
  <si>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</si>
  <si>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</si>
  <si>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</si>
  <si>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</si>
  <si>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</si>
  <si>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单位性质</t>
  </si>
  <si>
    <t>公务员</t>
  </si>
  <si>
    <t>机关工勤人员</t>
  </si>
  <si>
    <t>事业人员</t>
  </si>
  <si>
    <t>事业工勤人员</t>
  </si>
  <si>
    <t>特岗教师</t>
  </si>
  <si>
    <t>小计</t>
  </si>
  <si>
    <t>津补贴</t>
  </si>
  <si>
    <t>乡镇工作津贴</t>
  </si>
  <si>
    <t>人才津贴</t>
  </si>
  <si>
    <t>人才发展专项</t>
  </si>
  <si>
    <t>特殊岗位津贴</t>
  </si>
  <si>
    <t>年终一次性奖</t>
  </si>
  <si>
    <t>提高乡镇干部待遇</t>
  </si>
  <si>
    <t>教师绩效考核奖</t>
  </si>
  <si>
    <t>公务员和事业人员基础绩效考核奖</t>
  </si>
  <si>
    <t>医疗保险</t>
  </si>
  <si>
    <t>生育保险</t>
  </si>
  <si>
    <t>工伤保险</t>
  </si>
  <si>
    <t>失业保险</t>
  </si>
  <si>
    <t>基本离（退）休费</t>
  </si>
  <si>
    <t>离（退）休人员津补贴</t>
  </si>
  <si>
    <t>离（退）休人员基础绩效奖</t>
  </si>
  <si>
    <t>部门</t>
  </si>
  <si>
    <t>县委办</t>
  </si>
  <si>
    <t>行政</t>
  </si>
  <si>
    <t>人大办</t>
  </si>
  <si>
    <t>政府办</t>
  </si>
  <si>
    <t>政协办</t>
  </si>
  <si>
    <t>纪检会</t>
  </si>
  <si>
    <t>政法委</t>
  </si>
  <si>
    <t>组织部</t>
  </si>
  <si>
    <t>宣传部</t>
  </si>
  <si>
    <t>统战部</t>
  </si>
  <si>
    <t>党校</t>
  </si>
  <si>
    <t>参公</t>
  </si>
  <si>
    <t>工商联</t>
  </si>
  <si>
    <t>其他</t>
  </si>
  <si>
    <t>归侨侨眷联合会</t>
  </si>
  <si>
    <t>编办</t>
  </si>
  <si>
    <t>妇联</t>
  </si>
  <si>
    <t>团委</t>
  </si>
  <si>
    <t>史志研究室</t>
  </si>
  <si>
    <t>机关事务管理中心</t>
  </si>
  <si>
    <t>事业</t>
  </si>
  <si>
    <t>信访局</t>
  </si>
  <si>
    <t>行政审批服务局</t>
  </si>
  <si>
    <t>统计局</t>
  </si>
  <si>
    <t>财政局</t>
  </si>
  <si>
    <t>审计局</t>
  </si>
  <si>
    <t>公安局</t>
  </si>
  <si>
    <t>公检法</t>
  </si>
  <si>
    <t>森林公安</t>
  </si>
  <si>
    <t>交警大队</t>
  </si>
  <si>
    <t>司法局</t>
  </si>
  <si>
    <t>市场监督管理局</t>
  </si>
  <si>
    <t>县委网络安全和信息化委员会办公室</t>
  </si>
  <si>
    <t>县委县政府发展研究中心</t>
  </si>
  <si>
    <t>民兵武器训练仓库和基地管理站</t>
  </si>
  <si>
    <t>城管局</t>
  </si>
  <si>
    <t>环境卫生服务中心</t>
  </si>
  <si>
    <t>发改局</t>
  </si>
  <si>
    <t>住建局（人防办）</t>
  </si>
  <si>
    <t>建筑工程管理站</t>
  </si>
  <si>
    <t>城市园林绿化服务所</t>
  </si>
  <si>
    <t>市政设施服务站</t>
  </si>
  <si>
    <t>供排水管理站</t>
  </si>
  <si>
    <t>经济开发区</t>
  </si>
  <si>
    <t>雀塘产业园</t>
  </si>
  <si>
    <t>沪昆高铁站前开发办</t>
  </si>
  <si>
    <t>白水洞管理处</t>
  </si>
  <si>
    <t>交通局</t>
  </si>
  <si>
    <t>公路建设养护中心</t>
  </si>
  <si>
    <t>新田铺公路超限检测站</t>
  </si>
  <si>
    <t>交通质量安全监督站</t>
  </si>
  <si>
    <t>道路运输服务中心</t>
  </si>
  <si>
    <t>水运事务中心</t>
  </si>
  <si>
    <t>交通执法大队</t>
  </si>
  <si>
    <t>自然资源局</t>
  </si>
  <si>
    <t>土地房屋征收服务中心</t>
  </si>
  <si>
    <t>自然资源修复中心</t>
  </si>
  <si>
    <t>不动产登记中心</t>
  </si>
  <si>
    <t>国土执法监察大队</t>
  </si>
  <si>
    <t>自然资源信息中心</t>
  </si>
  <si>
    <t>土地收购储备中心</t>
  </si>
  <si>
    <t>供销社</t>
  </si>
  <si>
    <t>酿溪镇政府</t>
  </si>
  <si>
    <t>严塘镇政府</t>
  </si>
  <si>
    <t>雀塘镇政府</t>
  </si>
  <si>
    <t>陈家坊镇政府</t>
  </si>
  <si>
    <t>潭府乡政府</t>
  </si>
  <si>
    <t>太芝庙镇政府</t>
  </si>
  <si>
    <t>潭溪镇政府</t>
  </si>
  <si>
    <t>寸石镇政府</t>
  </si>
  <si>
    <t>坪上镇政府</t>
  </si>
  <si>
    <t>大新镇政府</t>
  </si>
  <si>
    <t>龙溪铺镇政府</t>
  </si>
  <si>
    <t>迎光乡政府</t>
  </si>
  <si>
    <t>巨口铺镇政府</t>
  </si>
  <si>
    <t>小塘镇政府</t>
  </si>
  <si>
    <t>新田铺镇政府</t>
  </si>
  <si>
    <t>人社局</t>
  </si>
  <si>
    <t>劳动监察大队</t>
  </si>
  <si>
    <t>工伤失业保险服务中心</t>
  </si>
  <si>
    <t>社会养老保险服务中心</t>
  </si>
  <si>
    <t>就业服务局</t>
  </si>
  <si>
    <t>劳动仲裁院</t>
  </si>
  <si>
    <t>医疗保障局</t>
  </si>
  <si>
    <t>民政局</t>
  </si>
  <si>
    <t>残联</t>
  </si>
  <si>
    <t>退役军人事务局</t>
  </si>
  <si>
    <t>疗养院</t>
  </si>
  <si>
    <t>卫生健康局</t>
  </si>
  <si>
    <t>疾控中心</t>
  </si>
  <si>
    <t>妇幼保健计划生育服务中心</t>
  </si>
  <si>
    <t>卫计执法局</t>
  </si>
  <si>
    <t>红十字会</t>
  </si>
  <si>
    <t>农业农村局</t>
  </si>
  <si>
    <t>畜牧水产服务中心</t>
  </si>
  <si>
    <t>农机事务中心</t>
  </si>
  <si>
    <t>农村经营服务站</t>
  </si>
  <si>
    <t>农业综合行政执法大队</t>
  </si>
  <si>
    <t>乡村振兴局</t>
  </si>
  <si>
    <t>林业局</t>
  </si>
  <si>
    <t>林业综合服务中心</t>
  </si>
  <si>
    <t>岳坪峰管理处</t>
  </si>
  <si>
    <t>筱溪国家湿地公园</t>
  </si>
  <si>
    <t>岱山林场</t>
  </si>
  <si>
    <t>龙山林场</t>
  </si>
  <si>
    <t>大形山林场</t>
  </si>
  <si>
    <t>苗圃</t>
  </si>
  <si>
    <t>水利局</t>
  </si>
  <si>
    <t>库区移民事务中心</t>
  </si>
  <si>
    <t>水土保持所</t>
  </si>
  <si>
    <t>尧虞塘水库管理所</t>
  </si>
  <si>
    <t>下源水库管理所</t>
  </si>
  <si>
    <t>颜岭水库管理所</t>
  </si>
  <si>
    <t>枫树坑水库管理所</t>
  </si>
  <si>
    <t>石马江流域水利水电管理所</t>
  </si>
  <si>
    <t>六都寨管理所</t>
  </si>
  <si>
    <t>商务局</t>
  </si>
  <si>
    <t>应急管理局</t>
  </si>
  <si>
    <t>科技和工业信息化局</t>
  </si>
  <si>
    <t>市场服务中心</t>
  </si>
  <si>
    <t>教育局（机关）</t>
  </si>
  <si>
    <t>一中</t>
  </si>
  <si>
    <t>二中</t>
  </si>
  <si>
    <t>三中</t>
  </si>
  <si>
    <t>四中</t>
  </si>
  <si>
    <t>五中</t>
  </si>
  <si>
    <t>八中</t>
  </si>
  <si>
    <t>职中</t>
  </si>
  <si>
    <t>教师进修学校</t>
  </si>
  <si>
    <t>机关幼儿园</t>
  </si>
  <si>
    <t>特殊学校</t>
  </si>
  <si>
    <t>酿溪镇督管办</t>
  </si>
  <si>
    <t>严塘镇督管办</t>
  </si>
  <si>
    <t>雀塘镇督管办</t>
  </si>
  <si>
    <t>陈家坊镇督管办</t>
  </si>
  <si>
    <t>潭府乡督管办</t>
  </si>
  <si>
    <t>太芝庙镇督管办</t>
  </si>
  <si>
    <t>潭溪镇督管办</t>
  </si>
  <si>
    <t>寸石镇督管办</t>
  </si>
  <si>
    <t>坪上镇督管办</t>
  </si>
  <si>
    <t>大新镇督管办</t>
  </si>
  <si>
    <t>龙溪铺镇督管办</t>
  </si>
  <si>
    <t>迎光乡督管办</t>
  </si>
  <si>
    <t>巨口铺镇督管办</t>
  </si>
  <si>
    <t>小塘镇督管办</t>
  </si>
  <si>
    <t>新田铺镇督管办</t>
  </si>
  <si>
    <t>青少年校外活动中心</t>
  </si>
  <si>
    <t>科协</t>
  </si>
  <si>
    <t>文化旅游广电体育局</t>
  </si>
  <si>
    <t>文化执法大队</t>
  </si>
  <si>
    <t>文化馆</t>
  </si>
  <si>
    <t>图书馆</t>
  </si>
  <si>
    <t>美术馆</t>
  </si>
  <si>
    <t>全民健身服务中心</t>
  </si>
  <si>
    <t>融媒体中心</t>
  </si>
  <si>
    <t>档案馆</t>
  </si>
  <si>
    <t>广播电视维护中心</t>
  </si>
  <si>
    <t>部门小计</t>
  </si>
  <si>
    <t>代编</t>
  </si>
  <si>
    <t>大财政（教育系统）</t>
  </si>
  <si>
    <t>大财政（乡镇）</t>
  </si>
  <si>
    <t>大财政（其他）</t>
  </si>
  <si>
    <t>2023年一般公共预算本级支出表</t>
    <phoneticPr fontId="2" type="noConversion"/>
  </si>
  <si>
    <t>2023年一般公共预算本级基本支出表</t>
    <phoneticPr fontId="2" type="noConversion"/>
  </si>
  <si>
    <t>表二</t>
  </si>
  <si>
    <t>收入</t>
  </si>
  <si>
    <t>支出</t>
  </si>
  <si>
    <t>项目</t>
  </si>
  <si>
    <t>县本级</t>
  </si>
  <si>
    <t>上级专项（大财政）</t>
  </si>
  <si>
    <t>上级专项（部门）</t>
  </si>
  <si>
    <t>上级专项合计</t>
  </si>
  <si>
    <t>备注</t>
  </si>
  <si>
    <t>上级</t>
  </si>
  <si>
    <t>一、本年收入</t>
  </si>
  <si>
    <t>1、基本工资</t>
  </si>
  <si>
    <t>2、津贴补贴</t>
  </si>
  <si>
    <t>3、绩效工资</t>
  </si>
  <si>
    <t>4、非税收入核拨经费</t>
  </si>
  <si>
    <t>5、产业发展资金</t>
  </si>
  <si>
    <t>地方一般公共预算收入安排小计</t>
  </si>
  <si>
    <t>二、上级补助收入</t>
  </si>
  <si>
    <t>1、工资福利支出</t>
  </si>
  <si>
    <t xml:space="preserve">  （一）返还性收入  </t>
  </si>
  <si>
    <t>（1）乡镇工作津贴</t>
  </si>
  <si>
    <t xml:space="preserve">  （二）一般性转移支付收入  </t>
  </si>
  <si>
    <t>（2）人才津贴</t>
  </si>
  <si>
    <t xml:space="preserve">        体制补助收入</t>
  </si>
  <si>
    <t>（3）人才发展专项</t>
  </si>
  <si>
    <t xml:space="preserve">        均衡性转移支付收入</t>
  </si>
  <si>
    <t>（4）特殊岗位津贴</t>
  </si>
  <si>
    <t xml:space="preserve">         县级基本财力保障机制奖补资金收入</t>
  </si>
  <si>
    <t>（5）奖金</t>
  </si>
  <si>
    <t xml:space="preserve">        结算补助收入</t>
  </si>
  <si>
    <t>（6）绩效工资</t>
  </si>
  <si>
    <t xml:space="preserve">         资源枯竭型城市转移支付补助收入</t>
  </si>
  <si>
    <t>（7）五险两金</t>
  </si>
  <si>
    <t xml:space="preserve">        企业事业单位划转补助收入</t>
  </si>
  <si>
    <t>（8）其他工资福利支出</t>
  </si>
  <si>
    <t xml:space="preserve">        产粮（油）大县奖励资金收入</t>
  </si>
  <si>
    <t>2、对个人和家庭补助支出</t>
  </si>
  <si>
    <t xml:space="preserve">        重点生态功能区转移支付收入</t>
  </si>
  <si>
    <t>（1）离退休费</t>
  </si>
  <si>
    <t xml:space="preserve">        革命老区转移支付收入</t>
  </si>
  <si>
    <t>（2）退职费</t>
  </si>
  <si>
    <t xml:space="preserve">        民族地区转移支付收入</t>
  </si>
  <si>
    <t>（3）抚恤金</t>
  </si>
  <si>
    <t xml:space="preserve">        边境地区转移支付收入</t>
  </si>
  <si>
    <t>（4）生活补助</t>
  </si>
  <si>
    <t xml:space="preserve">           巩固脱贫攻坚成果衔接乡村振兴转移支付收入</t>
  </si>
  <si>
    <t>（5）医疗费补助</t>
  </si>
  <si>
    <t xml:space="preserve">        固定数额补助收入</t>
  </si>
  <si>
    <t>（6）助学金</t>
  </si>
  <si>
    <r>
      <rPr>
        <sz val="11"/>
        <rFont val="Times New Roman"/>
        <family val="1"/>
      </rPr>
      <t xml:space="preserve">                    </t>
    </r>
    <r>
      <rPr>
        <sz val="11"/>
        <rFont val="宋体"/>
        <family val="3"/>
        <charset val="134"/>
      </rPr>
      <t>一般公共服务共同财政事权转移支付收入</t>
    </r>
  </si>
  <si>
    <t>（7）奖励金</t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</si>
  <si>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外交共同财政事权转移支付收入</t>
    </r>
  </si>
  <si>
    <t>（8）代缴社会保险</t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</si>
  <si>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国防共同财政事权转移支付收入</t>
    </r>
  </si>
  <si>
    <t>（9）其他对个人和家庭补助</t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</si>
  <si>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公共安全共同财政事权转移支付收入</t>
    </r>
  </si>
  <si>
    <t>3、公用经费</t>
  </si>
  <si>
    <r>
      <rPr>
        <sz val="11"/>
        <rFont val="Times New Roman"/>
        <family val="1"/>
      </rPr>
      <t xml:space="preserve">                 </t>
    </r>
    <r>
      <rPr>
        <sz val="11"/>
        <rFont val="宋体"/>
        <family val="3"/>
        <charset val="134"/>
      </rPr>
      <t>教育共同财政事权转移支付收入</t>
    </r>
  </si>
  <si>
    <t>（1）县直机关和乡镇一般公务费</t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</si>
  <si>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科学技术共同财政事权转移支付收入</t>
    </r>
  </si>
  <si>
    <t>（2）教育生均公用经费</t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</si>
  <si>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文化旅游体育与传媒共同财政事权转移支付收入</t>
    </r>
  </si>
  <si>
    <t>（3）公务交通补贴</t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</si>
  <si>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社会保障和就业共同财政事权转移支付收入</t>
    </r>
  </si>
  <si>
    <t>（4）业务工作经费</t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</si>
  <si>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医疗卫生共同财政事权转移支付收入</t>
    </r>
  </si>
  <si>
    <t>4、专项支出</t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</si>
  <si>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节能环保共同财政事权转移支付收入</t>
    </r>
  </si>
  <si>
    <t>（1）还本付息</t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</si>
  <si>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城乡社区共同财政事权转移支付收入</t>
    </r>
  </si>
  <si>
    <t>（2）污水垃圾处理费</t>
  </si>
  <si>
    <r>
      <rPr>
        <sz val="11"/>
        <rFont val="Times New Roman"/>
        <family val="1"/>
      </rPr>
      <t xml:space="preserve">                 </t>
    </r>
    <r>
      <rPr>
        <sz val="11"/>
        <rFont val="宋体"/>
        <family val="3"/>
        <charset val="134"/>
      </rPr>
      <t>农林水共同财政事权转移支付收入</t>
    </r>
  </si>
  <si>
    <t>（3）非税安排支出</t>
  </si>
  <si>
    <r>
      <rPr>
        <sz val="11"/>
        <rFont val="Times New Roman"/>
        <family val="1"/>
      </rPr>
      <t xml:space="preserve">                     </t>
    </r>
    <r>
      <rPr>
        <sz val="11"/>
        <rFont val="宋体"/>
        <family val="3"/>
        <charset val="134"/>
      </rPr>
      <t>交通运输共同财政事权转移支付收入</t>
    </r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</si>
  <si>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资源勘探信息等共同财政事权转移支付收入</t>
    </r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</si>
  <si>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商业服务业等共同财政事权转移支付收入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</si>
  <si>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金融共同财政事权转移支付收入</t>
    </r>
  </si>
  <si>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自然资源海洋气象等共同财政事权转移支付收入</t>
    </r>
  </si>
  <si>
    <r>
      <rPr>
        <sz val="11"/>
        <rFont val="Times New Roman"/>
        <family val="1"/>
      </rPr>
      <t xml:space="preserve">                     </t>
    </r>
    <r>
      <rPr>
        <sz val="11"/>
        <rFont val="宋体"/>
        <family val="3"/>
        <charset val="134"/>
      </rPr>
      <t>住房保障共同财政事权转移支付收入</t>
    </r>
  </si>
  <si>
    <r>
      <rPr>
        <sz val="11"/>
        <rFont val="Times New Roman"/>
        <family val="1"/>
      </rPr>
      <t xml:space="preserve">                     </t>
    </r>
    <r>
      <rPr>
        <sz val="11"/>
        <rFont val="宋体"/>
        <family val="3"/>
        <charset val="134"/>
      </rPr>
      <t>粮油物资储备共同财政事权转移支付收入</t>
    </r>
  </si>
  <si>
    <r>
      <rPr>
        <sz val="11"/>
        <rFont val="Times New Roman"/>
        <family val="1"/>
      </rPr>
      <t xml:space="preserve">                     </t>
    </r>
    <r>
      <rPr>
        <sz val="11"/>
        <rFont val="宋体"/>
        <family val="3"/>
        <charset val="134"/>
      </rPr>
      <t>灾害防治及应急管理共同财政事权转移支付收入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</si>
  <si>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其他共同财政事权转移支付收入</t>
    </r>
  </si>
  <si>
    <t>5、上解支出</t>
  </si>
  <si>
    <t>按2022年上解数剔除留底退税上解</t>
  </si>
  <si>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增值税留抵退税转移支付收入</t>
    </r>
  </si>
  <si>
    <t xml:space="preserve">     其他退税减费转移支付收入</t>
  </si>
  <si>
    <t xml:space="preserve">     补充县区财力转移支付收入</t>
  </si>
  <si>
    <t xml:space="preserve">        其他一般性转移支付收入</t>
  </si>
  <si>
    <t>返还收入及一般转移支付安排合计</t>
  </si>
  <si>
    <t xml:space="preserve">  （三）专项转移支付收入</t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</si>
  <si>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一般公共服务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</si>
  <si>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外交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</si>
  <si>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国防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</si>
  <si>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公共安全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</si>
  <si>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教育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</si>
  <si>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科学技术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</si>
  <si>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文化旅游体育与传媒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</si>
  <si>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社会保障和就业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</si>
  <si>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卫生健康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</si>
  <si>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节能环保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</si>
  <si>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城乡社区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</si>
  <si>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农林水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</si>
  <si>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交通运输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</si>
  <si>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资源勘探信息等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</si>
  <si>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商业服务业等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</si>
  <si>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金融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</si>
  <si>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自然资源海洋气象等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</si>
  <si>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住房保障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</si>
  <si>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粮油物资储备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</si>
  <si>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灾害防治及应急管理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</si>
  <si>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其他收入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</si>
  <si>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其他</t>
    </r>
  </si>
  <si>
    <t>专项转移支付收入安排合计</t>
  </si>
  <si>
    <t>三、调入资金</t>
  </si>
  <si>
    <t>政府性基金调入70000万元，国有资本经营调入200万元，其他调入12973万元。</t>
  </si>
  <si>
    <t>1、基本支出</t>
  </si>
  <si>
    <t>（1）业务工作经费</t>
  </si>
  <si>
    <t>3、专项支出</t>
  </si>
  <si>
    <t>（1）预备费</t>
  </si>
  <si>
    <t>（2）指挥部工作经费</t>
  </si>
  <si>
    <t>（3）教育系统专项</t>
  </si>
  <si>
    <t>（4）城市维护费</t>
  </si>
  <si>
    <t>（5）上级直管及非部门预算单位经费</t>
  </si>
  <si>
    <t>（6）隐性债务还本</t>
  </si>
  <si>
    <t>（7）城乡环境卫生整治</t>
  </si>
  <si>
    <t>（8）产业发展奖补</t>
  </si>
  <si>
    <t>（9）安全饮水维修基金</t>
  </si>
  <si>
    <t>（10）饮用水源购置专项</t>
  </si>
  <si>
    <t>（11）会议费、维稳费、其他小额配套和刚需专项</t>
  </si>
  <si>
    <t>调入资金安排小计</t>
  </si>
  <si>
    <t>本年支出合计</t>
  </si>
  <si>
    <r>
      <rPr>
        <sz val="12"/>
        <rFont val="宋体"/>
        <family val="3"/>
        <charset val="134"/>
      </rPr>
      <t>不含上解支出8</t>
    </r>
    <r>
      <rPr>
        <sz val="12"/>
        <rFont val="宋体"/>
        <family val="3"/>
        <charset val="134"/>
      </rPr>
      <t>621</t>
    </r>
    <r>
      <rPr>
        <sz val="12"/>
        <rFont val="宋体"/>
        <family val="3"/>
        <charset val="134"/>
      </rPr>
      <t>万元</t>
    </r>
  </si>
  <si>
    <r>
      <rPr>
        <b/>
        <sz val="12"/>
        <rFont val="宋体"/>
        <family val="3"/>
        <charset val="134"/>
      </rPr>
      <t>总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3"/>
        <charset val="134"/>
      </rPr>
      <t>计</t>
    </r>
  </si>
  <si>
    <r>
      <rPr>
        <b/>
        <sz val="12"/>
        <rFont val="宋体"/>
        <family val="3"/>
        <charset val="134"/>
      </rPr>
      <t>总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3"/>
        <charset val="134"/>
      </rPr>
      <t>计</t>
    </r>
  </si>
  <si>
    <t>注：1、上级补助收入（县本级）表中金额为193364万元，在计算县级可统筹财力时，应扣除因教育共同财政事权中上级安排的支出16631万元在县本级安排而调入的对应收入和上解支出8621万元，实际上级可统筹收入为168112万元。在不考虑调入资金的前提下，加上地方一般公共预算收入95928万元，全年可用财力为264040万元。2、支出项目安排顺序根据轻重缓急原则排序对应安排。</t>
  </si>
  <si>
    <t>新邵县2023年一般公共预算税收返还和转移支付表</t>
    <phoneticPr fontId="2" type="noConversion"/>
  </si>
  <si>
    <t>表九</t>
  </si>
  <si>
    <r>
      <rPr>
        <b/>
        <sz val="14"/>
        <rFont val="宋体"/>
        <family val="3"/>
        <charset val="134"/>
      </rPr>
      <t>收</t>
    </r>
    <r>
      <rPr>
        <b/>
        <sz val="14"/>
        <rFont val="宋体"/>
        <family val="3"/>
        <charset val="134"/>
      </rPr>
      <t>入</t>
    </r>
  </si>
  <si>
    <r>
      <rPr>
        <b/>
        <sz val="14"/>
        <rFont val="宋体"/>
        <family val="3"/>
        <charset val="134"/>
      </rPr>
      <t>支</t>
    </r>
    <r>
      <rPr>
        <b/>
        <sz val="14"/>
        <rFont val="宋体"/>
        <family val="3"/>
        <charset val="134"/>
      </rPr>
      <t>出</t>
    </r>
  </si>
  <si>
    <r>
      <rPr>
        <b/>
        <sz val="12"/>
        <rFont val="宋体"/>
        <family val="3"/>
        <charset val="134"/>
      </rPr>
      <t>项</t>
    </r>
    <r>
      <rPr>
        <b/>
        <sz val="12"/>
        <rFont val="宋体"/>
        <family val="3"/>
        <charset val="134"/>
      </rPr>
      <t>目</t>
    </r>
  </si>
  <si>
    <t>上级补助</t>
  </si>
  <si>
    <t>上年结余</t>
  </si>
  <si>
    <t>一、农网还贷资金收入</t>
  </si>
  <si>
    <t>一、文化旅游体育与传媒支出</t>
  </si>
  <si>
    <t>二、海南省高等级公路车辆通行附加费收入</t>
  </si>
  <si>
    <t xml:space="preserve">    国家电影事业发展专项资金安排的支出</t>
  </si>
  <si>
    <t>三、港口建设费收入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</si>
  <si>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旅游发展基金支出</t>
    </r>
  </si>
  <si>
    <t>四、国家电影事业发展专项资金收入</t>
  </si>
  <si>
    <t>二、社会保障和就业支出</t>
  </si>
  <si>
    <t>五、国有土地收益基金收入</t>
  </si>
  <si>
    <t xml:space="preserve">    大中型水库移民后期扶持基金支出</t>
  </si>
  <si>
    <t>六、农业土地开发资金收入</t>
  </si>
  <si>
    <t xml:space="preserve">    小型水库移民扶助基金及对应专项债务收入安排的支出</t>
  </si>
  <si>
    <t>七、国有土地使用权出让收入</t>
  </si>
  <si>
    <t>三、节能环保支出</t>
  </si>
  <si>
    <t>八、大中型水库库区基金收入</t>
  </si>
  <si>
    <t>四、城乡社区支出</t>
  </si>
  <si>
    <t>九、彩票公益金收入</t>
  </si>
  <si>
    <t xml:space="preserve">    国有土地使用权出让收入安排的支出</t>
  </si>
  <si>
    <t>十、城市基础设施配套费收入</t>
  </si>
  <si>
    <t xml:space="preserve">    国有土地收益基金收入安排的支出</t>
  </si>
  <si>
    <t>十一、小型水库移民扶助基金收入</t>
  </si>
  <si>
    <t xml:space="preserve">    农业土地开发资金安排的支出</t>
  </si>
  <si>
    <t>十二、国家重大水利工程建设基金收入</t>
  </si>
  <si>
    <t xml:space="preserve">    城市基础设施配套费安排的支出</t>
  </si>
  <si>
    <t>十三、车辆通行费</t>
  </si>
  <si>
    <t xml:space="preserve">    污水处理费安排的支出</t>
  </si>
  <si>
    <t>十四、污水处理费收入</t>
  </si>
  <si>
    <t>五、农林水支出</t>
  </si>
  <si>
    <t>十五、彩票发行机构和彩票销售机构的业务费用</t>
  </si>
  <si>
    <t xml:space="preserve">    大中型水库库区基金及对应债务专著收入安排的支出</t>
  </si>
  <si>
    <t>十六、其他政府性基金收入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</si>
  <si>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</si>
  <si>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</si>
  <si>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</si>
  <si>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>七、资源勘探信息等支出</t>
  </si>
  <si>
    <t>八、金融支出</t>
  </si>
  <si>
    <t>九、其他支出</t>
  </si>
  <si>
    <t>十、抗疫特别国债安排支出</t>
  </si>
  <si>
    <t>十一、债务付息支出</t>
  </si>
  <si>
    <t>十二、债务发行费用支出</t>
  </si>
  <si>
    <t>收入合计</t>
  </si>
  <si>
    <t>支出合计</t>
  </si>
  <si>
    <r>
      <rPr>
        <b/>
        <sz val="11"/>
        <rFont val="宋体"/>
        <family val="3"/>
        <charset val="134"/>
      </rPr>
      <t>转移性收入</t>
    </r>
  </si>
  <si>
    <r>
      <rPr>
        <b/>
        <sz val="11"/>
        <rFont val="宋体"/>
        <family val="3"/>
        <charset val="134"/>
      </rPr>
      <t>转移性支出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</si>
  <si>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政府性基金转移收入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</si>
  <si>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政府性基金转移支付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</si>
  <si>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政府性基金补助收入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</si>
  <si>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政府性基金补助支出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</si>
  <si>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政府性基金上解收入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</si>
  <si>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政府性基金上解支出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</si>
  <si>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上年结余收入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</si>
  <si>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调出资金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</si>
  <si>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调入资金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</si>
  <si>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年终结余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</si>
  <si>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其中：地方政府性基金调入专项收入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</si>
  <si>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地方政府专项债务还本支出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</si>
  <si>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地方政府专项债务收入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</si>
  <si>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地方政府专项债务转贷支出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</si>
  <si>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地方政府专项债务转贷收入</t>
    </r>
  </si>
  <si>
    <t>收入总计</t>
  </si>
  <si>
    <t>支出总计</t>
  </si>
  <si>
    <t>2023年政府性基金预算支出表</t>
    <phoneticPr fontId="2" type="noConversion"/>
  </si>
  <si>
    <t>2023年政府性基金预算收入表</t>
    <phoneticPr fontId="2" type="noConversion"/>
  </si>
  <si>
    <t>2023年政府性基金转移支付表</t>
    <phoneticPr fontId="2" type="noConversion"/>
  </si>
  <si>
    <t>新邵县2022年一般债务限额和余额情况表</t>
  </si>
  <si>
    <t>表八</t>
  </si>
  <si>
    <t>单位：万元</t>
  </si>
  <si>
    <t>限额金额</t>
  </si>
  <si>
    <t>余额</t>
  </si>
  <si>
    <t>新邵县2022年专项债务限额和余额情况表</t>
  </si>
  <si>
    <t>2023年本级政府性基金预算支出表</t>
    <phoneticPr fontId="2" type="noConversion"/>
  </si>
  <si>
    <r>
      <rPr>
        <b/>
        <sz val="11"/>
        <rFont val="宋体"/>
        <family val="3"/>
        <charset val="134"/>
      </rPr>
      <t>收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3"/>
        <charset val="134"/>
      </rPr>
      <t>入</t>
    </r>
  </si>
  <si>
    <r>
      <rPr>
        <b/>
        <sz val="11"/>
        <rFont val="宋体"/>
        <family val="3"/>
        <charset val="134"/>
      </rPr>
      <t>项</t>
    </r>
    <r>
      <rPr>
        <b/>
        <sz val="11"/>
        <rFont val="Times New Roman"/>
        <family val="1"/>
      </rPr>
      <t xml:space="preserve">        </t>
    </r>
    <r>
      <rPr>
        <b/>
        <sz val="11"/>
        <rFont val="宋体"/>
        <family val="3"/>
        <charset val="134"/>
      </rPr>
      <t>目</t>
    </r>
  </si>
  <si>
    <t>行次</t>
  </si>
  <si>
    <t>金额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</si>
  <si>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</si>
  <si>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</si>
  <si>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</si>
  <si>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</si>
  <si>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</si>
  <si>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</si>
  <si>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</si>
  <si>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>上年结转</t>
  </si>
  <si>
    <r>
      <rPr>
        <sz val="11"/>
        <rFont val="宋体"/>
        <family val="3"/>
        <charset val="134"/>
      </rPr>
      <t>收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入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计</t>
    </r>
  </si>
  <si>
    <t>表十一</t>
  </si>
  <si>
    <r>
      <rPr>
        <b/>
        <sz val="11"/>
        <rFont val="宋体"/>
        <family val="3"/>
        <charset val="134"/>
      </rPr>
      <t>支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3"/>
        <charset val="134"/>
      </rPr>
      <t>出</t>
    </r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</si>
  <si>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</si>
  <si>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</si>
  <si>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</si>
  <si>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</si>
  <si>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</si>
  <si>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</si>
  <si>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</si>
  <si>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结转下年</t>
  </si>
  <si>
    <r>
      <rPr>
        <sz val="11"/>
        <rFont val="宋体"/>
        <family val="3"/>
        <charset val="134"/>
      </rPr>
      <t>支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出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计</t>
    </r>
  </si>
  <si>
    <t>金额单位：万元</t>
    <phoneticPr fontId="2" type="noConversion"/>
  </si>
  <si>
    <t>新邵县2023年国有资本经营预算收入表</t>
    <phoneticPr fontId="2" type="noConversion"/>
  </si>
  <si>
    <t>新邵县2023年国有资本经营预算支出表</t>
    <phoneticPr fontId="2" type="noConversion"/>
  </si>
  <si>
    <t>新邵县2023年本级国有资本经营预算支出表</t>
    <phoneticPr fontId="2" type="noConversion"/>
  </si>
  <si>
    <t>新邵县2023年国有资本经营预算转移支付表</t>
    <phoneticPr fontId="2" type="noConversion"/>
  </si>
  <si>
    <t xml:space="preserve">表十 </t>
  </si>
  <si>
    <t>项        目</t>
  </si>
  <si>
    <t>企业职工基本
养老保险基金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</si>
  <si>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</si>
  <si>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</si>
  <si>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</si>
  <si>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</si>
  <si>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</si>
  <si>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</si>
  <si>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</si>
  <si>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</si>
  <si>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</si>
  <si>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</si>
  <si>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</si>
  <si>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</si>
  <si>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</si>
  <si>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</si>
  <si>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</si>
  <si>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</si>
  <si>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</si>
  <si>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</si>
  <si>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</si>
  <si>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5.省级统筹调剂资金支出（省级专用）</t>
  </si>
  <si>
    <t>新邵县2023年社会保险基金预算收入表</t>
    <phoneticPr fontId="2" type="noConversion"/>
  </si>
  <si>
    <t>一、支出</t>
    <phoneticPr fontId="2" type="noConversion"/>
  </si>
  <si>
    <t>二、本年收支结余</t>
    <phoneticPr fontId="2" type="noConversion"/>
  </si>
  <si>
    <t>三、年末滚存结余</t>
    <phoneticPr fontId="2" type="noConversion"/>
  </si>
  <si>
    <t>新邵县2023年社会保险基金预算支出表</t>
    <phoneticPr fontId="2" type="noConversion"/>
  </si>
  <si>
    <t>表十九</t>
  </si>
  <si>
    <t>地  区</t>
  </si>
  <si>
    <t>“三公”经费合计      （全口径）</t>
  </si>
  <si>
    <t>因公出国（境）费（全口径）</t>
  </si>
  <si>
    <t>公务用车购置费 （全口径）</t>
  </si>
  <si>
    <t>公务用车运行费 （全口径）</t>
  </si>
  <si>
    <t>公务接待费（全口径）</t>
  </si>
  <si>
    <r>
      <rPr>
        <sz val="11"/>
        <color theme="1"/>
        <rFont val="宋体"/>
        <family val="3"/>
        <charset val="134"/>
      </rPr>
      <t>新邵县</t>
    </r>
  </si>
  <si>
    <r>
      <t>2023</t>
    </r>
    <r>
      <rPr>
        <b/>
        <sz val="16"/>
        <rFont val="宋体"/>
        <family val="3"/>
        <charset val="134"/>
      </rPr>
      <t>年三公经费预算表</t>
    </r>
    <phoneticPr fontId="2" type="noConversion"/>
  </si>
  <si>
    <r>
      <t>2023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“</t>
    </r>
    <r>
      <rPr>
        <sz val="9"/>
        <rFont val="宋体"/>
        <family val="3"/>
        <charset val="134"/>
      </rPr>
      <t>三公</t>
    </r>
    <r>
      <rPr>
        <sz val="9"/>
        <rFont val="Times New Roman"/>
        <family val="1"/>
      </rPr>
      <t>”</t>
    </r>
    <r>
      <rPr>
        <sz val="9"/>
        <rFont val="宋体"/>
        <family val="3"/>
        <charset val="134"/>
      </rPr>
      <t>预计数</t>
    </r>
    <phoneticPr fontId="2" type="noConversion"/>
  </si>
  <si>
    <t>单位：万元</t>
    <phoneticPr fontId="2" type="noConversion"/>
  </si>
  <si>
    <t>一般公共预算收入表（表一）</t>
    <phoneticPr fontId="2" type="noConversion"/>
  </si>
  <si>
    <t>一般公共预算支出表（按单位和经济科目分类）（表二）</t>
    <phoneticPr fontId="2" type="noConversion"/>
  </si>
  <si>
    <t>一般公共预算本级支出表（按功能科目分类）（表三）</t>
    <phoneticPr fontId="2" type="noConversion"/>
  </si>
  <si>
    <t>一般公共预算本级基本支出表（表四）</t>
    <phoneticPr fontId="2" type="noConversion"/>
  </si>
  <si>
    <t>一般公共预算税收返还和转移支付表（表五）</t>
    <phoneticPr fontId="2" type="noConversion"/>
  </si>
  <si>
    <t>本级政府性基金支出表（表九）</t>
    <phoneticPr fontId="2" type="noConversion"/>
  </si>
  <si>
    <t>政府一般债务限额和余额表（表六）</t>
    <phoneticPr fontId="2" type="noConversion"/>
  </si>
  <si>
    <t>政府性基金收入表（表七）</t>
    <phoneticPr fontId="2" type="noConversion"/>
  </si>
  <si>
    <t>政府性基金支出表（表八）</t>
    <phoneticPr fontId="2" type="noConversion"/>
  </si>
  <si>
    <t>政府性基金转移支付表 (表十)</t>
    <phoneticPr fontId="2" type="noConversion"/>
  </si>
  <si>
    <t>政府专项债务限额和余额表 （表十一）</t>
    <phoneticPr fontId="2" type="noConversion"/>
  </si>
  <si>
    <t>国有资本经营预算收入表（表十二）</t>
    <phoneticPr fontId="2" type="noConversion"/>
  </si>
  <si>
    <t>国有资本经营预算支出表（表十三）</t>
    <phoneticPr fontId="2" type="noConversion"/>
  </si>
  <si>
    <t>社会保险基金收入表（表十六）</t>
    <phoneticPr fontId="2" type="noConversion"/>
  </si>
  <si>
    <t>社会保险基金支出表（表十七）</t>
    <phoneticPr fontId="2" type="noConversion"/>
  </si>
  <si>
    <t>三公（表十八）</t>
    <phoneticPr fontId="2" type="noConversion"/>
  </si>
  <si>
    <t>本级国有资本经营支出表（表十四）</t>
    <phoneticPr fontId="2" type="noConversion"/>
  </si>
  <si>
    <t xml:space="preserve">国有资本经营预算转移支付表（表十五） 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</si>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</sst>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 "/>
    <numFmt numFmtId="178" formatCode="0_);[Red]\(0\)"/>
    <numFmt numFmtId="179" formatCode="#,##0.00_ "/>
    <numFmt numFmtId="180" formatCode="#,##0_);[Red]\(#,##0\)"/>
  </numFmts>
  <fonts count="48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SimSun"/>
      <charset val="134"/>
    </font>
    <font>
      <sz val="9"/>
      <name val="SimSun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9"/>
      <name val="SimSun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b/>
      <sz val="22"/>
      <name val="宋体"/>
      <family val="3"/>
      <charset val="134"/>
    </font>
    <font>
      <b/>
      <sz val="22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b/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b/>
      <sz val="11"/>
      <name val="黑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2"/>
      <color rgb="FFFF0000"/>
      <name val="宋体"/>
      <family val="3"/>
      <charset val="134"/>
    </font>
    <font>
      <sz val="10"/>
      <color rgb="FFFF0000"/>
      <name val="Arial"/>
      <family val="2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方正大标宋简体"/>
      <charset val="134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rgb="FF000000"/>
      <name val="Arial"/>
      <family val="2"/>
    </font>
    <font>
      <b/>
      <sz val="16"/>
      <name val="方正大标宋简体"/>
      <charset val="134"/>
    </font>
    <font>
      <b/>
      <sz val="20"/>
      <color indexed="8"/>
      <name val="方正大标宋简体"/>
      <charset val="134"/>
    </font>
    <font>
      <b/>
      <sz val="20"/>
      <name val="方正大标宋简体"/>
      <charset val="134"/>
    </font>
    <font>
      <sz val="12"/>
      <color indexed="8"/>
      <name val="宋体"/>
      <family val="3"/>
      <charset val="134"/>
    </font>
    <font>
      <sz val="12"/>
      <color indexed="8"/>
      <name val="Arial Narrow"/>
      <family val="2"/>
    </font>
    <font>
      <b/>
      <sz val="12"/>
      <color indexed="8"/>
      <name val="宋体"/>
      <family val="3"/>
      <charset val="134"/>
    </font>
    <font>
      <sz val="9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1">
    <xf numFmtId="0" fontId="0" fillId="0" borderId="0">
      <alignment vertical="center"/>
    </xf>
    <xf numFmtId="0" fontId="8" fillId="0" borderId="0"/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" fillId="0" borderId="0"/>
    <xf numFmtId="0" fontId="1" fillId="0" borderId="0"/>
  </cellStyleXfs>
  <cellXfs count="26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485" applyFont="1" applyAlignment="1">
      <alignment vertical="center"/>
    </xf>
    <xf numFmtId="0" fontId="5" fillId="0" borderId="1" xfId="485" applyNumberFormat="1" applyFont="1" applyBorder="1" applyAlignment="1">
      <alignment horizontal="center" vertical="center" wrapText="1"/>
    </xf>
    <xf numFmtId="0" fontId="15" fillId="0" borderId="1" xfId="485" applyFont="1" applyBorder="1" applyAlignment="1">
      <alignment vertical="center"/>
    </xf>
    <xf numFmtId="0" fontId="1" fillId="0" borderId="1" xfId="485" applyBorder="1" applyAlignment="1">
      <alignment horizontal="right"/>
    </xf>
    <xf numFmtId="10" fontId="5" fillId="0" borderId="1" xfId="485" applyNumberFormat="1" applyFont="1" applyBorder="1" applyAlignment="1">
      <alignment horizontal="right"/>
    </xf>
    <xf numFmtId="0" fontId="5" fillId="0" borderId="1" xfId="485" applyNumberFormat="1" applyFont="1" applyBorder="1" applyAlignment="1">
      <alignment vertical="center"/>
    </xf>
    <xf numFmtId="0" fontId="14" fillId="0" borderId="1" xfId="485" applyFont="1" applyBorder="1" applyAlignment="1">
      <alignment vertical="center" shrinkToFit="1"/>
    </xf>
    <xf numFmtId="0" fontId="5" fillId="0" borderId="1" xfId="485" applyNumberFormat="1" applyFont="1" applyBorder="1" applyAlignment="1">
      <alignment vertical="center" wrapText="1"/>
    </xf>
    <xf numFmtId="0" fontId="14" fillId="0" borderId="1" xfId="485" applyFont="1" applyBorder="1" applyAlignment="1">
      <alignment vertical="center"/>
    </xf>
    <xf numFmtId="0" fontId="5" fillId="0" borderId="1" xfId="485" applyFont="1" applyBorder="1" applyAlignment="1">
      <alignment horizontal="center" vertical="center"/>
    </xf>
    <xf numFmtId="0" fontId="1" fillId="2" borderId="1" xfId="485" applyFill="1" applyBorder="1" applyAlignment="1">
      <alignment horizontal="right"/>
    </xf>
    <xf numFmtId="0" fontId="5" fillId="0" borderId="1" xfId="485" applyFont="1" applyBorder="1" applyAlignment="1">
      <alignment horizontal="center" vertical="center" shrinkToFit="1"/>
    </xf>
    <xf numFmtId="0" fontId="15" fillId="0" borderId="1" xfId="485" applyFont="1" applyBorder="1" applyAlignment="1">
      <alignment horizontal="left" vertical="center"/>
    </xf>
    <xf numFmtId="0" fontId="15" fillId="0" borderId="1" xfId="485" applyFont="1" applyBorder="1" applyAlignment="1">
      <alignment horizontal="left" vertical="center" shrinkToFit="1"/>
    </xf>
    <xf numFmtId="0" fontId="15" fillId="0" borderId="1" xfId="485" applyFont="1" applyBorder="1" applyAlignment="1">
      <alignment vertical="center" shrinkToFit="1"/>
    </xf>
    <xf numFmtId="176" fontId="5" fillId="0" borderId="1" xfId="485" applyNumberFormat="1" applyFont="1" applyBorder="1" applyAlignment="1">
      <alignment vertical="center"/>
    </xf>
    <xf numFmtId="10" fontId="5" fillId="0" borderId="1" xfId="485" applyNumberFormat="1" applyFont="1" applyBorder="1" applyAlignment="1"/>
    <xf numFmtId="0" fontId="1" fillId="0" borderId="1" xfId="485" applyBorder="1"/>
    <xf numFmtId="0" fontId="17" fillId="0" borderId="1" xfId="485" applyFont="1" applyBorder="1" applyAlignment="1">
      <alignment horizontal="left" vertical="center" wrapText="1" shrinkToFit="1"/>
    </xf>
    <xf numFmtId="0" fontId="15" fillId="0" borderId="1" xfId="485" applyFont="1" applyBorder="1" applyAlignment="1">
      <alignment horizontal="center" vertical="center"/>
    </xf>
    <xf numFmtId="0" fontId="5" fillId="0" borderId="5" xfId="485" applyFont="1" applyBorder="1" applyAlignment="1">
      <alignment horizontal="center" vertical="center"/>
    </xf>
    <xf numFmtId="0" fontId="1" fillId="0" borderId="0" xfId="485"/>
    <xf numFmtId="176" fontId="1" fillId="0" borderId="0" xfId="485" applyNumberFormat="1"/>
    <xf numFmtId="0" fontId="1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NumberFormat="1" applyFont="1" applyFill="1" applyAlignment="1">
      <alignment vertical="center"/>
    </xf>
    <xf numFmtId="0" fontId="19" fillId="2" borderId="7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 shrinkToFit="1"/>
    </xf>
    <xf numFmtId="0" fontId="2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shrinkToFit="1"/>
    </xf>
    <xf numFmtId="0" fontId="11" fillId="2" borderId="1" xfId="0" applyNumberFormat="1" applyFont="1" applyFill="1" applyBorder="1" applyAlignment="1"/>
    <xf numFmtId="0" fontId="15" fillId="2" borderId="1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right" vertical="center" shrinkToFit="1"/>
    </xf>
    <xf numFmtId="0" fontId="0" fillId="2" borderId="1" xfId="0" applyNumberFormat="1" applyFont="1" applyFill="1" applyBorder="1" applyAlignment="1">
      <alignment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vertical="center" shrinkToFit="1"/>
    </xf>
    <xf numFmtId="0" fontId="24" fillId="2" borderId="1" xfId="0" applyFont="1" applyFill="1" applyBorder="1" applyAlignment="1">
      <alignment shrinkToFit="1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shrinkToFit="1"/>
    </xf>
    <xf numFmtId="0" fontId="0" fillId="2" borderId="1" xfId="0" applyFont="1" applyFill="1" applyBorder="1">
      <alignment vertical="center"/>
    </xf>
    <xf numFmtId="0" fontId="6" fillId="2" borderId="1" xfId="3" applyFont="1" applyFill="1" applyBorder="1" applyAlignment="1">
      <alignment vertical="center" shrinkToFit="1"/>
    </xf>
    <xf numFmtId="0" fontId="6" fillId="2" borderId="1" xfId="3" applyFont="1" applyFill="1" applyBorder="1">
      <alignment vertical="center"/>
    </xf>
    <xf numFmtId="0" fontId="17" fillId="2" borderId="1" xfId="0" applyFont="1" applyFill="1" applyBorder="1" applyAlignment="1">
      <alignment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shrinkToFit="1"/>
    </xf>
    <xf numFmtId="0" fontId="6" fillId="2" borderId="1" xfId="256" applyFont="1" applyFill="1" applyBorder="1">
      <alignment vertical="center"/>
    </xf>
    <xf numFmtId="0" fontId="6" fillId="2" borderId="1" xfId="477" applyFont="1" applyFill="1" applyBorder="1">
      <alignment vertical="center"/>
    </xf>
    <xf numFmtId="0" fontId="23" fillId="2" borderId="1" xfId="0" applyFont="1" applyFill="1" applyBorder="1" applyAlignment="1">
      <alignment horizontal="center" shrinkToFit="1"/>
    </xf>
    <xf numFmtId="0" fontId="11" fillId="2" borderId="1" xfId="257" applyFont="1" applyFill="1" applyBorder="1" applyAlignment="1">
      <alignment horizontal="right"/>
    </xf>
    <xf numFmtId="0" fontId="6" fillId="2" borderId="1" xfId="0" applyFont="1" applyFill="1" applyBorder="1" applyAlignment="1">
      <alignment vertical="center" shrinkToFit="1"/>
    </xf>
    <xf numFmtId="0" fontId="25" fillId="2" borderId="1" xfId="0" applyFont="1" applyFill="1" applyBorder="1" applyAlignment="1">
      <alignment vertical="center" shrinkToFit="1"/>
    </xf>
    <xf numFmtId="0" fontId="26" fillId="2" borderId="1" xfId="257" applyFont="1" applyFill="1" applyBorder="1" applyAlignment="1">
      <alignment horizontal="right"/>
    </xf>
    <xf numFmtId="0" fontId="2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 shrinkToFit="1"/>
    </xf>
    <xf numFmtId="0" fontId="1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77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vertical="center" shrinkToFit="1"/>
    </xf>
    <xf numFmtId="31" fontId="29" fillId="2" borderId="0" xfId="0" applyNumberFormat="1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right" vertical="center" shrinkToFit="1"/>
    </xf>
    <xf numFmtId="0" fontId="0" fillId="2" borderId="1" xfId="0" applyFont="1" applyFill="1" applyBorder="1" applyAlignment="1">
      <alignment horizontal="center" vertical="center" shrinkToFit="1"/>
    </xf>
    <xf numFmtId="178" fontId="0" fillId="2" borderId="10" xfId="0" applyNumberFormat="1" applyFont="1" applyFill="1" applyBorder="1" applyAlignment="1">
      <alignment horizontal="center" vertical="center" shrinkToFit="1"/>
    </xf>
    <xf numFmtId="178" fontId="27" fillId="2" borderId="10" xfId="0" applyNumberFormat="1" applyFont="1" applyFill="1" applyBorder="1" applyAlignment="1">
      <alignment horizontal="center" vertical="center" shrinkToFit="1"/>
    </xf>
    <xf numFmtId="178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shrinkToFit="1"/>
    </xf>
    <xf numFmtId="178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right" vertical="center" shrinkToFit="1"/>
    </xf>
    <xf numFmtId="0" fontId="0" fillId="3" borderId="1" xfId="0" applyFont="1" applyFill="1" applyBorder="1" applyAlignment="1">
      <alignment horizontal="center" vertical="center" shrinkToFit="1"/>
    </xf>
    <xf numFmtId="178" fontId="0" fillId="3" borderId="1" xfId="0" applyNumberFormat="1" applyFont="1" applyFill="1" applyBorder="1" applyAlignment="1">
      <alignment vertical="center" shrinkToFit="1"/>
    </xf>
    <xf numFmtId="178" fontId="0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ont="1" applyFill="1" applyBorder="1" applyAlignment="1">
      <alignment horizontal="right" vertical="center" shrinkToFit="1"/>
    </xf>
    <xf numFmtId="0" fontId="27" fillId="0" borderId="1" xfId="0" applyFont="1" applyFill="1" applyBorder="1" applyAlignment="1">
      <alignment vertical="center" shrinkToFit="1"/>
    </xf>
    <xf numFmtId="178" fontId="27" fillId="2" borderId="1" xfId="0" applyNumberFormat="1" applyFont="1" applyFill="1" applyBorder="1" applyAlignment="1">
      <alignment horizontal="right" vertical="center" shrinkToFit="1"/>
    </xf>
    <xf numFmtId="178" fontId="27" fillId="2" borderId="1" xfId="0" applyNumberFormat="1" applyFont="1" applyFill="1" applyBorder="1" applyAlignment="1">
      <alignment vertical="center" shrinkToFit="1"/>
    </xf>
    <xf numFmtId="178" fontId="0" fillId="2" borderId="1" xfId="0" applyNumberFormat="1" applyFont="1" applyFill="1" applyBorder="1" applyAlignment="1">
      <alignment horizontal="right" vertical="center" shrinkToFit="1"/>
    </xf>
    <xf numFmtId="0" fontId="5" fillId="2" borderId="1" xfId="480" applyFont="1" applyFill="1" applyBorder="1" applyAlignment="1">
      <alignment vertical="center" shrinkToFit="1"/>
    </xf>
    <xf numFmtId="0" fontId="0" fillId="2" borderId="1" xfId="480" applyFont="1" applyFill="1" applyBorder="1" applyAlignment="1">
      <alignment vertical="center" shrinkToFit="1"/>
    </xf>
    <xf numFmtId="0" fontId="14" fillId="2" borderId="1" xfId="0" applyFont="1" applyFill="1" applyBorder="1" applyAlignment="1" applyProtection="1">
      <alignment vertical="center" shrinkToFit="1"/>
      <protection locked="0"/>
    </xf>
    <xf numFmtId="178" fontId="10" fillId="2" borderId="1" xfId="0" applyNumberFormat="1" applyFont="1" applyFill="1" applyBorder="1" applyAlignment="1">
      <alignment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0" fillId="3" borderId="1" xfId="0" applyFont="1" applyFill="1" applyBorder="1" applyAlignment="1">
      <alignment vertical="center" shrinkToFit="1"/>
    </xf>
    <xf numFmtId="3" fontId="14" fillId="2" borderId="1" xfId="0" applyNumberFormat="1" applyFont="1" applyFill="1" applyBorder="1" applyAlignment="1" applyProtection="1">
      <alignment horizontal="left" vertical="center" shrinkToFit="1"/>
      <protection locked="0"/>
    </xf>
    <xf numFmtId="3" fontId="14" fillId="2" borderId="1" xfId="0" applyNumberFormat="1" applyFont="1" applyFill="1" applyBorder="1" applyAlignment="1" applyProtection="1">
      <alignment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vertical="center" shrinkToFit="1"/>
      <protection locked="0"/>
    </xf>
    <xf numFmtId="178" fontId="0" fillId="2" borderId="5" xfId="0" applyNumberFormat="1" applyFont="1" applyFill="1" applyBorder="1" applyAlignment="1">
      <alignment horizontal="right" vertical="center" shrinkToFit="1"/>
    </xf>
    <xf numFmtId="178" fontId="0" fillId="2" borderId="5" xfId="0" applyNumberFormat="1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 shrinkToFit="1"/>
    </xf>
    <xf numFmtId="178" fontId="0" fillId="3" borderId="1" xfId="0" applyNumberFormat="1" applyFont="1" applyFill="1" applyBorder="1" applyAlignment="1">
      <alignment horizontal="right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3" borderId="1" xfId="0" applyNumberFormat="1" applyFont="1" applyFill="1" applyBorder="1" applyAlignment="1">
      <alignment vertical="center" shrinkToFit="1"/>
    </xf>
    <xf numFmtId="0" fontId="27" fillId="3" borderId="1" xfId="0" applyFont="1" applyFill="1" applyBorder="1" applyAlignment="1">
      <alignment horizontal="center" vertical="center" shrinkToFit="1"/>
    </xf>
    <xf numFmtId="178" fontId="27" fillId="3" borderId="1" xfId="0" applyNumberFormat="1" applyFont="1" applyFill="1" applyBorder="1" applyAlignment="1">
      <alignment horizontal="right" vertical="center" shrinkToFit="1"/>
    </xf>
    <xf numFmtId="178" fontId="27" fillId="3" borderId="1" xfId="0" applyNumberFormat="1" applyFont="1" applyFill="1" applyBorder="1" applyAlignment="1">
      <alignment vertical="center" shrinkToFit="1"/>
    </xf>
    <xf numFmtId="0" fontId="0" fillId="2" borderId="0" xfId="0" applyFont="1" applyFill="1" applyAlignment="1">
      <alignment shrinkToFit="1"/>
    </xf>
    <xf numFmtId="178" fontId="0" fillId="2" borderId="0" xfId="0" applyNumberFormat="1" applyFont="1" applyFill="1" applyAlignment="1">
      <alignment shrinkToFit="1"/>
    </xf>
    <xf numFmtId="0" fontId="20" fillId="0" borderId="0" xfId="479" applyFont="1" applyFill="1" applyAlignment="1">
      <alignment vertical="center"/>
    </xf>
    <xf numFmtId="0" fontId="1" fillId="0" borderId="0" xfId="479"/>
    <xf numFmtId="0" fontId="27" fillId="0" borderId="1" xfId="479" applyFont="1" applyFill="1" applyBorder="1" applyAlignment="1">
      <alignment horizontal="center" vertical="center" shrinkToFit="1"/>
    </xf>
    <xf numFmtId="3" fontId="5" fillId="0" borderId="1" xfId="479" applyNumberFormat="1" applyFont="1" applyFill="1" applyBorder="1" applyAlignment="1" applyProtection="1">
      <alignment vertical="center" shrinkToFit="1"/>
    </xf>
    <xf numFmtId="0" fontId="5" fillId="0" borderId="1" xfId="479" applyFont="1" applyFill="1" applyBorder="1" applyAlignment="1">
      <alignment vertical="center"/>
    </xf>
    <xf numFmtId="3" fontId="5" fillId="0" borderId="1" xfId="482" applyNumberFormat="1" applyFont="1" applyFill="1" applyBorder="1" applyAlignment="1" applyProtection="1">
      <alignment vertical="center" shrinkToFit="1"/>
    </xf>
    <xf numFmtId="0" fontId="15" fillId="0" borderId="1" xfId="479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" fontId="5" fillId="0" borderId="1" xfId="482" applyNumberFormat="1" applyFont="1" applyFill="1" applyBorder="1" applyAlignment="1" applyProtection="1">
      <alignment horizontal="left" vertical="center" shrinkToFit="1"/>
    </xf>
    <xf numFmtId="0" fontId="0" fillId="0" borderId="1" xfId="0" applyFont="1" applyBorder="1" applyAlignment="1">
      <alignment vertical="center" shrinkToFit="1"/>
    </xf>
    <xf numFmtId="3" fontId="33" fillId="0" borderId="1" xfId="479" applyNumberFormat="1" applyFont="1" applyFill="1" applyBorder="1" applyAlignment="1" applyProtection="1">
      <alignment vertical="center" shrinkToFit="1"/>
    </xf>
    <xf numFmtId="0" fontId="5" fillId="0" borderId="1" xfId="482" applyFont="1" applyBorder="1" applyAlignment="1">
      <alignment horizontal="left" vertical="center" shrinkToFit="1"/>
    </xf>
    <xf numFmtId="3" fontId="5" fillId="0" borderId="1" xfId="479" applyNumberFormat="1" applyFont="1" applyFill="1" applyBorder="1" applyAlignment="1" applyProtection="1">
      <alignment vertical="center"/>
    </xf>
    <xf numFmtId="0" fontId="0" fillId="0" borderId="1" xfId="479" applyFont="1" applyFill="1" applyBorder="1" applyAlignment="1">
      <alignment vertical="center"/>
    </xf>
    <xf numFmtId="3" fontId="5" fillId="0" borderId="1" xfId="479" applyNumberFormat="1" applyFont="1" applyFill="1" applyBorder="1" applyAlignment="1" applyProtection="1">
      <alignment horizontal="center" vertical="center"/>
    </xf>
    <xf numFmtId="3" fontId="5" fillId="0" borderId="1" xfId="482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shrinkToFit="1"/>
    </xf>
    <xf numFmtId="1" fontId="14" fillId="2" borderId="1" xfId="0" applyNumberFormat="1" applyFont="1" applyFill="1" applyBorder="1" applyAlignment="1" applyProtection="1">
      <alignment vertical="center"/>
      <protection locked="0"/>
    </xf>
    <xf numFmtId="1" fontId="14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482" applyNumberFormat="1" applyFont="1" applyFill="1" applyBorder="1" applyAlignment="1" applyProtection="1">
      <alignment horizontal="left" vertical="center"/>
    </xf>
    <xf numFmtId="0" fontId="1" fillId="0" borderId="0" xfId="5">
      <alignment vertical="center"/>
    </xf>
    <xf numFmtId="0" fontId="35" fillId="0" borderId="0" xfId="5" applyFont="1">
      <alignment vertical="center"/>
    </xf>
    <xf numFmtId="0" fontId="35" fillId="0" borderId="0" xfId="5" applyFont="1" applyAlignment="1">
      <alignment horizontal="right" vertical="center"/>
    </xf>
    <xf numFmtId="0" fontId="35" fillId="0" borderId="1" xfId="5" applyFont="1" applyBorder="1" applyAlignment="1">
      <alignment horizontal="center" vertical="center"/>
    </xf>
    <xf numFmtId="4" fontId="1" fillId="0" borderId="0" xfId="5" applyNumberFormat="1">
      <alignment vertical="center"/>
    </xf>
    <xf numFmtId="179" fontId="1" fillId="0" borderId="0" xfId="5" applyNumberFormat="1">
      <alignment vertical="center"/>
    </xf>
    <xf numFmtId="4" fontId="36" fillId="0" borderId="0" xfId="0" applyNumberFormat="1" applyFont="1">
      <alignment vertical="center"/>
    </xf>
    <xf numFmtId="0" fontId="15" fillId="0" borderId="0" xfId="481" applyFont="1" applyAlignment="1">
      <alignment vertical="center"/>
    </xf>
    <xf numFmtId="0" fontId="5" fillId="0" borderId="0" xfId="481" applyFont="1" applyAlignment="1">
      <alignment horizontal="center" vertical="center"/>
    </xf>
    <xf numFmtId="0" fontId="5" fillId="0" borderId="1" xfId="481" applyFont="1" applyBorder="1" applyAlignment="1">
      <alignment vertical="center"/>
    </xf>
    <xf numFmtId="0" fontId="5" fillId="0" borderId="1" xfId="481" applyFont="1" applyBorder="1" applyAlignment="1">
      <alignment horizontal="center" vertical="center"/>
    </xf>
    <xf numFmtId="0" fontId="5" fillId="0" borderId="1" xfId="481" applyFont="1" applyBorder="1" applyAlignment="1">
      <alignment horizontal="right" vertical="center"/>
    </xf>
    <xf numFmtId="0" fontId="5" fillId="0" borderId="1" xfId="481" applyFont="1" applyBorder="1" applyAlignment="1">
      <alignment horizontal="left" vertical="center"/>
    </xf>
    <xf numFmtId="0" fontId="5" fillId="0" borderId="1" xfId="481" applyFont="1" applyBorder="1"/>
    <xf numFmtId="0" fontId="5" fillId="0" borderId="1" xfId="481" applyFont="1" applyBorder="1" applyAlignment="1">
      <alignment horizontal="right"/>
    </xf>
    <xf numFmtId="0" fontId="1" fillId="0" borderId="0" xfId="481" applyAlignment="1">
      <alignment vertical="center"/>
    </xf>
    <xf numFmtId="0" fontId="15" fillId="0" borderId="0" xfId="481" applyFont="1" applyAlignment="1">
      <alignment horizontal="right" vertical="center"/>
    </xf>
    <xf numFmtId="0" fontId="5" fillId="0" borderId="1" xfId="481" applyFont="1" applyBorder="1" applyAlignment="1">
      <alignment vertical="center" wrapText="1"/>
    </xf>
    <xf numFmtId="0" fontId="37" fillId="0" borderId="0" xfId="481" applyFont="1" applyAlignment="1">
      <alignment vertical="center"/>
    </xf>
    <xf numFmtId="0" fontId="0" fillId="0" borderId="0" xfId="0" applyFill="1">
      <alignment vertical="center"/>
    </xf>
    <xf numFmtId="0" fontId="40" fillId="0" borderId="13" xfId="483" applyNumberFormat="1" applyFont="1" applyFill="1" applyBorder="1" applyAlignment="1" applyProtection="1">
      <alignment vertical="center"/>
    </xf>
    <xf numFmtId="0" fontId="41" fillId="0" borderId="13" xfId="483" applyNumberFormat="1" applyFont="1" applyFill="1" applyBorder="1" applyAlignment="1" applyProtection="1">
      <alignment vertical="center"/>
    </xf>
    <xf numFmtId="0" fontId="41" fillId="0" borderId="7" xfId="483" applyNumberFormat="1" applyFont="1" applyFill="1" applyBorder="1" applyAlignment="1" applyProtection="1">
      <alignment vertical="center"/>
    </xf>
    <xf numFmtId="0" fontId="10" fillId="0" borderId="7" xfId="483" applyNumberFormat="1" applyFont="1" applyFill="1" applyBorder="1" applyAlignment="1" applyProtection="1"/>
    <xf numFmtId="0" fontId="40" fillId="0" borderId="0" xfId="483" applyNumberFormat="1" applyFont="1" applyFill="1" applyBorder="1" applyAlignment="1" applyProtection="1">
      <alignment horizontal="right" vertical="center"/>
    </xf>
    <xf numFmtId="49" fontId="42" fillId="0" borderId="14" xfId="1" applyNumberFormat="1" applyFont="1" applyFill="1" applyBorder="1" applyAlignment="1">
      <alignment horizontal="center" vertical="center"/>
    </xf>
    <xf numFmtId="49" fontId="42" fillId="0" borderId="15" xfId="1" applyNumberFormat="1" applyFont="1" applyFill="1" applyBorder="1" applyAlignment="1">
      <alignment horizontal="center" vertical="center" wrapText="1"/>
    </xf>
    <xf numFmtId="49" fontId="42" fillId="0" borderId="1" xfId="1" applyNumberFormat="1" applyFont="1" applyFill="1" applyBorder="1" applyAlignment="1">
      <alignment horizontal="center" vertical="center" wrapText="1"/>
    </xf>
    <xf numFmtId="49" fontId="42" fillId="0" borderId="16" xfId="1" applyNumberFormat="1" applyFont="1" applyFill="1" applyBorder="1" applyAlignment="1">
      <alignment horizontal="center" vertical="center" wrapText="1"/>
    </xf>
    <xf numFmtId="49" fontId="42" fillId="0" borderId="14" xfId="1" applyNumberFormat="1" applyFont="1" applyFill="1" applyBorder="1" applyAlignment="1">
      <alignment horizontal="center" vertical="center" wrapText="1"/>
    </xf>
    <xf numFmtId="49" fontId="40" fillId="0" borderId="17" xfId="1" applyNumberFormat="1" applyFont="1" applyFill="1" applyBorder="1" applyAlignment="1">
      <alignment horizontal="left" vertical="center"/>
    </xf>
    <xf numFmtId="180" fontId="40" fillId="0" borderId="14" xfId="1" applyNumberFormat="1" applyFont="1" applyFill="1" applyBorder="1" applyAlignment="1">
      <alignment horizontal="right" vertical="center"/>
    </xf>
    <xf numFmtId="180" fontId="40" fillId="0" borderId="18" xfId="1" applyNumberFormat="1" applyFont="1" applyFill="1" applyBorder="1" applyAlignment="1">
      <alignment horizontal="right" vertical="center"/>
    </xf>
    <xf numFmtId="180" fontId="40" fillId="0" borderId="15" xfId="1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49" fontId="40" fillId="0" borderId="14" xfId="1" applyNumberFormat="1" applyFont="1" applyFill="1" applyBorder="1" applyAlignment="1">
      <alignment horizontal="left" vertical="center"/>
    </xf>
    <xf numFmtId="49" fontId="40" fillId="0" borderId="14" xfId="1" applyNumberFormat="1" applyFont="1" applyFill="1" applyBorder="1" applyAlignment="1">
      <alignment vertical="center"/>
    </xf>
    <xf numFmtId="180" fontId="40" fillId="0" borderId="14" xfId="1" applyNumberFormat="1" applyFont="1" applyFill="1" applyBorder="1" applyAlignment="1">
      <alignment horizontal="center" vertical="center"/>
    </xf>
    <xf numFmtId="177" fontId="5" fillId="0" borderId="0" xfId="488" applyNumberFormat="1" applyFont="1" applyFill="1" applyBorder="1" applyAlignment="1">
      <alignment horizontal="left" vertical="center" shrinkToFit="1"/>
    </xf>
    <xf numFmtId="177" fontId="43" fillId="0" borderId="0" xfId="488" applyNumberFormat="1" applyFont="1" applyFill="1" applyBorder="1" applyAlignment="1">
      <alignment horizontal="center" vertical="center" shrinkToFit="1"/>
    </xf>
    <xf numFmtId="177" fontId="2" fillId="0" borderId="1" xfId="488" applyNumberFormat="1" applyFont="1" applyFill="1" applyBorder="1" applyAlignment="1">
      <alignment horizontal="center" vertical="center" wrapText="1"/>
    </xf>
    <xf numFmtId="177" fontId="2" fillId="0" borderId="1" xfId="488" applyNumberFormat="1" applyFont="1" applyFill="1" applyBorder="1" applyAlignment="1">
      <alignment horizontal="center" vertical="center" wrapText="1" shrinkToFit="1"/>
    </xf>
    <xf numFmtId="0" fontId="46" fillId="0" borderId="1" xfId="488" applyFont="1" applyFill="1" applyBorder="1" applyAlignment="1">
      <alignment horizontal="center" vertical="center"/>
    </xf>
    <xf numFmtId="177" fontId="43" fillId="0" borderId="1" xfId="488" applyNumberFormat="1" applyFont="1" applyFill="1" applyBorder="1" applyAlignment="1">
      <alignment horizontal="center" vertical="center" shrinkToFit="1"/>
    </xf>
    <xf numFmtId="0" fontId="8" fillId="0" borderId="0" xfId="488"/>
    <xf numFmtId="177" fontId="2" fillId="0" borderId="0" xfId="488" applyNumberFormat="1" applyFont="1" applyFill="1" applyBorder="1" applyAlignment="1">
      <alignment horizontal="center" vertical="center" shrinkToFit="1"/>
    </xf>
    <xf numFmtId="0" fontId="15" fillId="0" borderId="5" xfId="48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485" applyFont="1" applyAlignment="1">
      <alignment horizontal="center" vertical="center"/>
    </xf>
    <xf numFmtId="31" fontId="0" fillId="0" borderId="0" xfId="485" applyNumberFormat="1" applyFont="1" applyBorder="1" applyAlignment="1">
      <alignment horizontal="right" vertical="center"/>
    </xf>
    <xf numFmtId="0" fontId="0" fillId="0" borderId="0" xfId="485" applyFont="1" applyBorder="1" applyAlignment="1">
      <alignment horizontal="right" vertical="center"/>
    </xf>
    <xf numFmtId="0" fontId="5" fillId="0" borderId="6" xfId="485" applyFont="1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 shrinkToFi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 shrinkToFit="1"/>
    </xf>
    <xf numFmtId="0" fontId="23" fillId="2" borderId="8" xfId="0" applyFont="1" applyFill="1" applyBorder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/>
    </xf>
    <xf numFmtId="0" fontId="18" fillId="2" borderId="0" xfId="0" applyNumberFormat="1" applyFont="1" applyFill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right" vertical="center"/>
    </xf>
    <xf numFmtId="0" fontId="22" fillId="2" borderId="7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177" fontId="23" fillId="2" borderId="1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178" fontId="5" fillId="2" borderId="5" xfId="0" applyNumberFormat="1" applyFont="1" applyFill="1" applyBorder="1" applyAlignment="1">
      <alignment horizontal="left" vertical="center" wrapText="1" shrinkToFit="1"/>
    </xf>
    <xf numFmtId="178" fontId="5" fillId="2" borderId="9" xfId="0" applyNumberFormat="1" applyFont="1" applyFill="1" applyBorder="1" applyAlignment="1">
      <alignment horizontal="left" vertical="center" wrapText="1" shrinkToFit="1"/>
    </xf>
    <xf numFmtId="178" fontId="5" fillId="2" borderId="8" xfId="0" applyNumberFormat="1" applyFont="1" applyFill="1" applyBorder="1" applyAlignment="1">
      <alignment horizontal="left" vertical="center" wrapText="1" shrinkToFit="1"/>
    </xf>
    <xf numFmtId="0" fontId="10" fillId="2" borderId="6" xfId="0" applyFont="1" applyFill="1" applyBorder="1" applyAlignment="1">
      <alignment horizontal="left" vertical="top" wrapText="1" shrinkToFit="1"/>
    </xf>
    <xf numFmtId="0" fontId="27" fillId="2" borderId="5" xfId="0" applyFont="1" applyFill="1" applyBorder="1" applyAlignment="1">
      <alignment horizontal="left" vertical="center" shrinkToFit="1"/>
    </xf>
    <xf numFmtId="0" fontId="27" fillId="2" borderId="9" xfId="0" applyFont="1" applyFill="1" applyBorder="1" applyAlignment="1">
      <alignment horizontal="left" vertical="center" shrinkToFit="1"/>
    </xf>
    <xf numFmtId="0" fontId="27" fillId="2" borderId="8" xfId="0" applyFont="1" applyFill="1" applyBorder="1" applyAlignment="1">
      <alignment horizontal="left" vertical="center" shrinkToFit="1"/>
    </xf>
    <xf numFmtId="178" fontId="27" fillId="2" borderId="5" xfId="0" applyNumberFormat="1" applyFont="1" applyFill="1" applyBorder="1" applyAlignment="1">
      <alignment horizontal="right" vertical="center" shrinkToFit="1"/>
    </xf>
    <xf numFmtId="178" fontId="27" fillId="2" borderId="9" xfId="0" applyNumberFormat="1" applyFont="1" applyFill="1" applyBorder="1" applyAlignment="1">
      <alignment horizontal="right" vertical="center" shrinkToFit="1"/>
    </xf>
    <xf numFmtId="178" fontId="27" fillId="2" borderId="8" xfId="0" applyNumberFormat="1" applyFont="1" applyFill="1" applyBorder="1" applyAlignment="1">
      <alignment horizontal="right" vertical="center" shrinkToFit="1"/>
    </xf>
    <xf numFmtId="178" fontId="27" fillId="2" borderId="5" xfId="0" applyNumberFormat="1" applyFont="1" applyFill="1" applyBorder="1" applyAlignment="1">
      <alignment vertical="center" shrinkToFit="1"/>
    </xf>
    <xf numFmtId="178" fontId="27" fillId="2" borderId="9" xfId="0" applyNumberFormat="1" applyFont="1" applyFill="1" applyBorder="1" applyAlignment="1">
      <alignment vertical="center" shrinkToFit="1"/>
    </xf>
    <xf numFmtId="178" fontId="27" fillId="2" borderId="8" xfId="0" applyNumberFormat="1" applyFont="1" applyFill="1" applyBorder="1" applyAlignment="1">
      <alignment vertical="center" shrinkToFit="1"/>
    </xf>
    <xf numFmtId="0" fontId="28" fillId="2" borderId="0" xfId="0" applyFont="1" applyFill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left" vertical="center" shrinkToFit="1"/>
    </xf>
    <xf numFmtId="0" fontId="27" fillId="0" borderId="9" xfId="0" applyFont="1" applyFill="1" applyBorder="1" applyAlignment="1">
      <alignment horizontal="left" vertical="center" shrinkToFit="1"/>
    </xf>
    <xf numFmtId="0" fontId="27" fillId="0" borderId="8" xfId="0" applyFont="1" applyFill="1" applyBorder="1" applyAlignment="1">
      <alignment horizontal="left" vertical="center" shrinkToFit="1"/>
    </xf>
    <xf numFmtId="178" fontId="10" fillId="2" borderId="5" xfId="0" applyNumberFormat="1" applyFont="1" applyFill="1" applyBorder="1" applyAlignment="1">
      <alignment horizontal="left" vertical="center" wrapText="1" shrinkToFit="1"/>
    </xf>
    <xf numFmtId="178" fontId="10" fillId="2" borderId="9" xfId="0" applyNumberFormat="1" applyFont="1" applyFill="1" applyBorder="1" applyAlignment="1">
      <alignment horizontal="left" vertical="center" wrapText="1" shrinkToFit="1"/>
    </xf>
    <xf numFmtId="178" fontId="10" fillId="2" borderId="8" xfId="0" applyNumberFormat="1" applyFont="1" applyFill="1" applyBorder="1" applyAlignment="1">
      <alignment horizontal="left" vertical="center" wrapText="1" shrinkToFit="1"/>
    </xf>
    <xf numFmtId="0" fontId="34" fillId="0" borderId="0" xfId="5" applyFont="1" applyAlignment="1">
      <alignment horizontal="center" vertical="center"/>
    </xf>
    <xf numFmtId="0" fontId="31" fillId="0" borderId="0" xfId="479" applyFont="1" applyFill="1" applyAlignment="1">
      <alignment horizontal="center" vertical="center"/>
    </xf>
    <xf numFmtId="0" fontId="32" fillId="0" borderId="10" xfId="479" applyFont="1" applyFill="1" applyBorder="1" applyAlignment="1">
      <alignment horizontal="center" vertical="center"/>
    </xf>
    <xf numFmtId="0" fontId="32" fillId="0" borderId="11" xfId="479" applyFont="1" applyFill="1" applyBorder="1" applyAlignment="1">
      <alignment horizontal="center" vertical="center"/>
    </xf>
    <xf numFmtId="0" fontId="32" fillId="0" borderId="12" xfId="479" applyFont="1" applyFill="1" applyBorder="1" applyAlignment="1">
      <alignment horizontal="center" vertical="center"/>
    </xf>
    <xf numFmtId="0" fontId="27" fillId="0" borderId="7" xfId="479" applyFont="1" applyFill="1" applyBorder="1" applyAlignment="1">
      <alignment horizontal="right" vertical="center"/>
    </xf>
    <xf numFmtId="0" fontId="37" fillId="0" borderId="0" xfId="481" applyFont="1" applyAlignment="1">
      <alignment horizontal="center" vertical="center"/>
    </xf>
    <xf numFmtId="0" fontId="15" fillId="0" borderId="1" xfId="481" applyFont="1" applyBorder="1" applyAlignment="1">
      <alignment horizontal="center" vertical="center"/>
    </xf>
    <xf numFmtId="0" fontId="15" fillId="0" borderId="10" xfId="481" applyFont="1" applyBorder="1" applyAlignment="1">
      <alignment horizontal="center" vertical="center"/>
    </xf>
    <xf numFmtId="0" fontId="15" fillId="0" borderId="11" xfId="481" applyFont="1" applyBorder="1" applyAlignment="1">
      <alignment horizontal="center" vertical="center"/>
    </xf>
    <xf numFmtId="0" fontId="15" fillId="0" borderId="12" xfId="481" applyFont="1" applyBorder="1" applyAlignment="1">
      <alignment horizontal="center" vertical="center"/>
    </xf>
    <xf numFmtId="0" fontId="15" fillId="0" borderId="5" xfId="481" applyFont="1" applyBorder="1" applyAlignment="1">
      <alignment horizontal="center" vertical="center"/>
    </xf>
    <xf numFmtId="0" fontId="15" fillId="0" borderId="8" xfId="481" applyFont="1" applyBorder="1" applyAlignment="1">
      <alignment horizontal="center" vertical="center"/>
    </xf>
    <xf numFmtId="0" fontId="38" fillId="0" borderId="0" xfId="483" applyNumberFormat="1" applyFont="1" applyFill="1" applyBorder="1" applyAlignment="1" applyProtection="1">
      <alignment horizontal="center" vertical="center"/>
    </xf>
    <xf numFmtId="0" fontId="39" fillId="0" borderId="0" xfId="483" applyNumberFormat="1" applyFont="1" applyFill="1" applyBorder="1" applyAlignment="1" applyProtection="1"/>
    <xf numFmtId="177" fontId="44" fillId="0" borderId="0" xfId="488" applyNumberFormat="1" applyFont="1" applyFill="1" applyAlignment="1">
      <alignment horizontal="center" vertical="center" shrinkToFit="1"/>
    </xf>
    <xf numFmtId="177" fontId="2" fillId="0" borderId="7" xfId="488" applyNumberFormat="1" applyFont="1" applyFill="1" applyBorder="1" applyAlignment="1">
      <alignment horizontal="left" vertical="center" shrinkToFit="1"/>
    </xf>
    <xf numFmtId="0" fontId="33" fillId="0" borderId="1" xfId="488" applyFont="1" applyFill="1" applyBorder="1" applyAlignment="1">
      <alignment horizontal="center" vertical="center"/>
    </xf>
    <xf numFmtId="177" fontId="43" fillId="0" borderId="1" xfId="488" applyNumberFormat="1" applyFont="1" applyFill="1" applyBorder="1" applyAlignment="1">
      <alignment horizontal="center" vertical="center" shrinkToFit="1"/>
    </xf>
  </cellXfs>
  <cellStyles count="491">
    <cellStyle name="Normal" xfId="1"/>
    <cellStyle name="常规" xfId="0" builtinId="0"/>
    <cellStyle name="常规 10" xfId="2"/>
    <cellStyle name="常规 11" xfId="3"/>
    <cellStyle name="常规 11 2" xfId="486"/>
    <cellStyle name="常规 11 3" xfId="487"/>
    <cellStyle name="常规 12" xfId="4"/>
    <cellStyle name="常规 12 2" xfId="488"/>
    <cellStyle name="常规 13" xfId="5"/>
    <cellStyle name="常规 13 2" xfId="6"/>
    <cellStyle name="常规 13 2 10" xfId="7"/>
    <cellStyle name="常规 13 2 11" xfId="8"/>
    <cellStyle name="常规 13 2 2" xfId="9"/>
    <cellStyle name="常规 13 2 2 2" xfId="10"/>
    <cellStyle name="常规 13 2 2 2 2" xfId="11"/>
    <cellStyle name="常规 13 2 2 2 2 2" xfId="12"/>
    <cellStyle name="常规 13 2 2 2 2 2 2" xfId="13"/>
    <cellStyle name="常规 13 2 2 2 2 2 2 2" xfId="14"/>
    <cellStyle name="常规 13 2 2 2 2 2 2 2 2" xfId="15"/>
    <cellStyle name="常规 13 2 2 2 2 2 2 2_2018年各单位业务费和专项经费表" xfId="16"/>
    <cellStyle name="常规 13 2 2 2 2 2 3" xfId="17"/>
    <cellStyle name="常规 13 2 2 2 2 2 3 2" xfId="18"/>
    <cellStyle name="常规 13 2 2 2 2 2 3_2018年各单位业务费和专项经费表" xfId="19"/>
    <cellStyle name="常规 13 2 2 2 2 3" xfId="20"/>
    <cellStyle name="常规 13 2 2 2 2 3 2" xfId="21"/>
    <cellStyle name="常规 13 2 2 2 2 3 2 2" xfId="22"/>
    <cellStyle name="常规 13 2 2 2 2 3 2 2 2" xfId="23"/>
    <cellStyle name="常规 13 2 2 2 2 3 2 2_2018年各单位业务费和专项经费表" xfId="24"/>
    <cellStyle name="常规 13 2 2 2 2 3 3" xfId="25"/>
    <cellStyle name="常规 13 2 2 2 2 3 3 2" xfId="26"/>
    <cellStyle name="常规 13 2 2 2 2 3 3_2018年各单位业务费和专项经费表" xfId="27"/>
    <cellStyle name="常规 13 2 2 2 2 4" xfId="28"/>
    <cellStyle name="常规 13 2 2 2 2 4 2" xfId="29"/>
    <cellStyle name="常规 13 2 2 2 2 4 2 2" xfId="30"/>
    <cellStyle name="常规 13 2 2 2 2 4 2_2018年各单位业务费和专项经费表" xfId="31"/>
    <cellStyle name="常规 13 2 2 2 2 4 3" xfId="32"/>
    <cellStyle name="常规 13 2 2 2 2 4_2018年各单位业务费和专项经费表" xfId="33"/>
    <cellStyle name="常规 13 2 2 2 2 5" xfId="34"/>
    <cellStyle name="常规 13 2 2 2 2 5 2" xfId="35"/>
    <cellStyle name="常规 13 2 2 2 2 5 2 2" xfId="36"/>
    <cellStyle name="常规 13 2 2 2 2 5 2_2018年各单位业务费和专项经费表" xfId="37"/>
    <cellStyle name="常规 13 2 2 2 2 6" xfId="38"/>
    <cellStyle name="常规 13 2 2 2 2 6 2" xfId="39"/>
    <cellStyle name="常规 13 2 2 2 2 6_2018年各单位业务费和专项经费表" xfId="40"/>
    <cellStyle name="常规 13 2 2 2 2_2018年各单位业务费和专项经费表" xfId="41"/>
    <cellStyle name="常规 13 2 2 2 3" xfId="42"/>
    <cellStyle name="常规 13 2 2 2 3 2" xfId="43"/>
    <cellStyle name="常规 13 2 2 2 3 2 2" xfId="44"/>
    <cellStyle name="常规 13 2 2 2 3 2 2 2" xfId="45"/>
    <cellStyle name="常规 13 2 2 2 3 2 2 2 2" xfId="46"/>
    <cellStyle name="常规 13 2 2 2 3 2 2 2_2018年各单位业务费和专项经费表" xfId="47"/>
    <cellStyle name="常规 13 2 2 2 3 2 3" xfId="48"/>
    <cellStyle name="常规 13 2 2 2 3 2 3 2" xfId="49"/>
    <cellStyle name="常规 13 2 2 2 3 2 3_2018年各单位业务费和专项经费表" xfId="50"/>
    <cellStyle name="常规 13 2 2 2 3 3" xfId="51"/>
    <cellStyle name="常规 13 2 2 2 3 3 2" xfId="52"/>
    <cellStyle name="常规 13 2 2 2 3 3 2 2" xfId="53"/>
    <cellStyle name="常规 13 2 2 2 3 3 2_2018年各单位业务费和专项经费表" xfId="54"/>
    <cellStyle name="常规 13 2 2 2 3 3 3" xfId="55"/>
    <cellStyle name="常规 13 2 2 2 3 3_2018年各单位业务费和专项经费表" xfId="56"/>
    <cellStyle name="常规 13 2 2 2 3 4" xfId="57"/>
    <cellStyle name="常规 13 2 2 2 3 4 2" xfId="58"/>
    <cellStyle name="常规 13 2 2 2 3 4 2 2" xfId="59"/>
    <cellStyle name="常规 13 2 2 2 3 4 2_2018年各单位业务费和专项经费表" xfId="60"/>
    <cellStyle name="常规 13 2 2 2 3 5" xfId="61"/>
    <cellStyle name="常规 13 2 2 2 3 5 2" xfId="62"/>
    <cellStyle name="常规 13 2 2 2 3 5_2018年各单位业务费和专项经费表" xfId="63"/>
    <cellStyle name="常规 13 2 2 2 3_2018年各单位业务费和专项经费表" xfId="64"/>
    <cellStyle name="常规 13 2 2 3" xfId="65"/>
    <cellStyle name="常规 13 2 2 3 2" xfId="66"/>
    <cellStyle name="常规 13 2 2 3 2 2" xfId="67"/>
    <cellStyle name="常规 13 2 2 3 2 2 2" xfId="68"/>
    <cellStyle name="常规 13 2 2 3 2 2 2 2" xfId="69"/>
    <cellStyle name="常规 13 2 2 3 2 2 2_2018年各单位业务费和专项经费表" xfId="70"/>
    <cellStyle name="常规 13 2 2 3 2 3" xfId="71"/>
    <cellStyle name="常规 13 2 2 3 2 3 2" xfId="72"/>
    <cellStyle name="常规 13 2 2 3 2 3_2018年各单位业务费和专项经费表" xfId="73"/>
    <cellStyle name="常规 13 2 2 3 3" xfId="74"/>
    <cellStyle name="常规 13 2 2 3 3 2" xfId="75"/>
    <cellStyle name="常规 13 2 2 3 3 2 2" xfId="76"/>
    <cellStyle name="常规 13 2 2 3 3 2_2018年各单位业务费和专项经费表" xfId="77"/>
    <cellStyle name="常规 13 2 2 3 3 3" xfId="78"/>
    <cellStyle name="常规 13 2 2 3 3_2018年各单位业务费和专项经费表" xfId="79"/>
    <cellStyle name="常规 13 2 2 3 4" xfId="80"/>
    <cellStyle name="常规 13 2 2 3 4 2" xfId="81"/>
    <cellStyle name="常规 13 2 2 3 4 2 2" xfId="82"/>
    <cellStyle name="常规 13 2 2 3 4 2_2018年各单位业务费和专项经费表" xfId="83"/>
    <cellStyle name="常规 13 2 2 3 5" xfId="84"/>
    <cellStyle name="常规 13 2 2 3 5 2" xfId="85"/>
    <cellStyle name="常规 13 2 2 3 5_2018年各单位业务费和专项经费表" xfId="86"/>
    <cellStyle name="常规 13 2 2 3_2018年各单位业务费和专项经费表" xfId="87"/>
    <cellStyle name="常规 13 2 2 4" xfId="88"/>
    <cellStyle name="常规 13 2 2 4 2" xfId="89"/>
    <cellStyle name="常规 13 2 2 4 2 2" xfId="90"/>
    <cellStyle name="常规 13 2 2 4 2 2 2" xfId="91"/>
    <cellStyle name="常规 13 2 2 4 2 2 2 2" xfId="92"/>
    <cellStyle name="常规 13 2 2 4 2 2 2 2 2" xfId="93"/>
    <cellStyle name="常规 13 2 2 4 2 2 2 2_2018年各单位业务费和专项经费表" xfId="94"/>
    <cellStyle name="常规 13 2 2 4 2 2 3" xfId="95"/>
    <cellStyle name="常规 13 2 2 4 2 2 3 2" xfId="96"/>
    <cellStyle name="常规 13 2 2 4 2 2 3_2018年各单位业务费和专项经费表" xfId="97"/>
    <cellStyle name="常规 13 2 2 4 2 3" xfId="98"/>
    <cellStyle name="常规 13 2 2 4 2 3 2" xfId="99"/>
    <cellStyle name="常规 13 2 2 4 2 3 2 2" xfId="100"/>
    <cellStyle name="常规 13 2 2 4 2 3 2_2018年各单位业务费和专项经费表" xfId="101"/>
    <cellStyle name="常规 13 2 2 4 2 3 3" xfId="102"/>
    <cellStyle name="常规 13 2 2 4 2 3_2018年各单位业务费和专项经费表" xfId="103"/>
    <cellStyle name="常规 13 2 2 4 2 4" xfId="104"/>
    <cellStyle name="常规 13 2 2 4 2 4 2" xfId="105"/>
    <cellStyle name="常规 13 2 2 4 2 4 2 2" xfId="106"/>
    <cellStyle name="常规 13 2 2 4 2 4 2_2018年各单位业务费和专项经费表" xfId="107"/>
    <cellStyle name="常规 13 2 2 4 2 5" xfId="108"/>
    <cellStyle name="常规 13 2 2 4 2 5 2" xfId="109"/>
    <cellStyle name="常规 13 2 2 4 2 5_2018年各单位业务费和专项经费表" xfId="110"/>
    <cellStyle name="常规 13 2 2 4 2_2018年各单位业务费和专项经费表" xfId="111"/>
    <cellStyle name="常规 13 2 2 5" xfId="112"/>
    <cellStyle name="常规 13 2 2 5 2" xfId="113"/>
    <cellStyle name="常规 13 2 2 5 2 2" xfId="114"/>
    <cellStyle name="常规 13 2 2 5 2 2 2" xfId="115"/>
    <cellStyle name="常规 13 2 2 5 2 2_2018年各单位业务费和专项经费表" xfId="116"/>
    <cellStyle name="常规 13 2 2 5 3" xfId="117"/>
    <cellStyle name="常规 13 2 2 5 3 2" xfId="118"/>
    <cellStyle name="常规 13 2 2 5 3_2018年各单位业务费和专项经费表" xfId="119"/>
    <cellStyle name="常规 13 2 2 6" xfId="120"/>
    <cellStyle name="常规 13 2 2 6 2" xfId="121"/>
    <cellStyle name="常规 13 2 2 6 2 2" xfId="122"/>
    <cellStyle name="常规 13 2 2 6 2_2018年各单位业务费和专项经费表" xfId="123"/>
    <cellStyle name="常规 13 2 2 6 3" xfId="124"/>
    <cellStyle name="常规 13 2 2 6_2018年各单位业务费和专项经费表" xfId="125"/>
    <cellStyle name="常规 13 2 2 7" xfId="126"/>
    <cellStyle name="常规 13 2 2 7 2" xfId="127"/>
    <cellStyle name="常规 13 2 2 7_2018年各单位业务费和专项经费表" xfId="128"/>
    <cellStyle name="常规 13 2 2_2018年各单位业务费和专项经费表" xfId="129"/>
    <cellStyle name="常规 13 2 3" xfId="130"/>
    <cellStyle name="常规 13 2 3 2" xfId="131"/>
    <cellStyle name="常规 13 2 3 2 2" xfId="132"/>
    <cellStyle name="常规 13 2 3 2 2 2" xfId="133"/>
    <cellStyle name="常规 13 2 3 2 2 2 2" xfId="134"/>
    <cellStyle name="常规 13 2 3 2 2 2 2 2" xfId="135"/>
    <cellStyle name="常规 13 2 3 2 2 2 2_2018年各单位业务费和专项经费表" xfId="136"/>
    <cellStyle name="常规 13 2 3 2 2 3" xfId="137"/>
    <cellStyle name="常规 13 2 3 2 2 3 2" xfId="138"/>
    <cellStyle name="常规 13 2 3 2 2 3_2018年各单位业务费和专项经费表" xfId="139"/>
    <cellStyle name="常规 13 2 3 2 3" xfId="140"/>
    <cellStyle name="常规 13 2 3 2 3 2" xfId="141"/>
    <cellStyle name="常规 13 2 3 2 3 2 2" xfId="142"/>
    <cellStyle name="常规 13 2 3 2 3 2 2 2" xfId="143"/>
    <cellStyle name="常规 13 2 3 2 3 2 2_2018年各单位业务费和专项经费表" xfId="144"/>
    <cellStyle name="常规 13 2 3 2 3 3" xfId="145"/>
    <cellStyle name="常规 13 2 3 2 3 3 2" xfId="146"/>
    <cellStyle name="常规 13 2 3 2 3 3_2018年各单位业务费和专项经费表" xfId="147"/>
    <cellStyle name="常规 13 2 3 2 4" xfId="148"/>
    <cellStyle name="常规 13 2 3 2 4 2" xfId="149"/>
    <cellStyle name="常规 13 2 3 2 4 2 2" xfId="150"/>
    <cellStyle name="常规 13 2 3 2 4 2_2018年各单位业务费和专项经费表" xfId="151"/>
    <cellStyle name="常规 13 2 3 2 4 3" xfId="152"/>
    <cellStyle name="常规 13 2 3 2 4_2018年各单位业务费和专项经费表" xfId="153"/>
    <cellStyle name="常规 13 2 3 2 5" xfId="154"/>
    <cellStyle name="常规 13 2 3 2 5 2" xfId="155"/>
    <cellStyle name="常规 13 2 3 2 5 2 2" xfId="156"/>
    <cellStyle name="常规 13 2 3 2 5 2_2018年各单位业务费和专项经费表" xfId="157"/>
    <cellStyle name="常规 13 2 3 2 6" xfId="158"/>
    <cellStyle name="常规 13 2 3 2 6 2" xfId="159"/>
    <cellStyle name="常规 13 2 3 2 6_2018年各单位业务费和专项经费表" xfId="160"/>
    <cellStyle name="常规 13 2 3 2_2018年各单位业务费和专项经费表" xfId="161"/>
    <cellStyle name="常规 13 2 3 3" xfId="162"/>
    <cellStyle name="常规 13 2 3 3 2" xfId="163"/>
    <cellStyle name="常规 13 2 3 3 2 2" xfId="164"/>
    <cellStyle name="常规 13 2 3 3 2 2 2" xfId="165"/>
    <cellStyle name="常规 13 2 3 3 2 2 2 2" xfId="166"/>
    <cellStyle name="常规 13 2 3 3 2 2 2_2018年各单位业务费和专项经费表" xfId="167"/>
    <cellStyle name="常规 13 2 3 3 2 3" xfId="168"/>
    <cellStyle name="常规 13 2 3 3 2 3 2" xfId="169"/>
    <cellStyle name="常规 13 2 3 3 2 3_2018年各单位业务费和专项经费表" xfId="170"/>
    <cellStyle name="常规 13 2 3 3 3" xfId="171"/>
    <cellStyle name="常规 13 2 3 3 3 2" xfId="172"/>
    <cellStyle name="常规 13 2 3 3 3 2 2" xfId="173"/>
    <cellStyle name="常规 13 2 3 3 3 2_2018年各单位业务费和专项经费表" xfId="174"/>
    <cellStyle name="常规 13 2 3 3 3 3" xfId="175"/>
    <cellStyle name="常规 13 2 3 3 3_2018年各单位业务费和专项经费表" xfId="176"/>
    <cellStyle name="常规 13 2 3 3 4" xfId="177"/>
    <cellStyle name="常规 13 2 3 3 4 2" xfId="178"/>
    <cellStyle name="常规 13 2 3 3 4 2 2" xfId="179"/>
    <cellStyle name="常规 13 2 3 3 4 2_2018年各单位业务费和专项经费表" xfId="180"/>
    <cellStyle name="常规 13 2 3 3 5" xfId="181"/>
    <cellStyle name="常规 13 2 3 3 5 2" xfId="182"/>
    <cellStyle name="常规 13 2 3 3 5_2018年各单位业务费和专项经费表" xfId="183"/>
    <cellStyle name="常规 13 2 3 3_2018年各单位业务费和专项经费表" xfId="184"/>
    <cellStyle name="常规 13 2 4" xfId="185"/>
    <cellStyle name="常规 13 2 4 2" xfId="186"/>
    <cellStyle name="常规 13 2 4 2 2" xfId="187"/>
    <cellStyle name="常规 13 2 4 2 2 2" xfId="188"/>
    <cellStyle name="常规 13 2 4 2 2 2 2" xfId="189"/>
    <cellStyle name="常规 13 2 4 2 2 2_2018年各单位业务费和专项经费表" xfId="190"/>
    <cellStyle name="常规 13 2 4 2 3" xfId="191"/>
    <cellStyle name="常规 13 2 4 2 3 2" xfId="192"/>
    <cellStyle name="常规 13 2 4 2 3_2018年各单位业务费和专项经费表" xfId="193"/>
    <cellStyle name="常规 13 2 4 3" xfId="194"/>
    <cellStyle name="常规 13 2 4 3 2" xfId="195"/>
    <cellStyle name="常规 13 2 4 3 2 2" xfId="196"/>
    <cellStyle name="常规 13 2 4 3 2_2018年各单位业务费和专项经费表" xfId="197"/>
    <cellStyle name="常规 13 2 4 3 3" xfId="198"/>
    <cellStyle name="常规 13 2 4 3_2018年各单位业务费和专项经费表" xfId="199"/>
    <cellStyle name="常规 13 2 4 4" xfId="200"/>
    <cellStyle name="常规 13 2 4 4 2" xfId="201"/>
    <cellStyle name="常规 13 2 4 4 2 2" xfId="202"/>
    <cellStyle name="常规 13 2 4 4 2_2018年各单位业务费和专项经费表" xfId="203"/>
    <cellStyle name="常规 13 2 4 5" xfId="204"/>
    <cellStyle name="常规 13 2 4 5 2" xfId="205"/>
    <cellStyle name="常规 13 2 4 5_2018年各单位业务费和专项经费表" xfId="206"/>
    <cellStyle name="常规 13 2 4_2018年各单位业务费和专项经费表" xfId="207"/>
    <cellStyle name="常规 13 2 5" xfId="208"/>
    <cellStyle name="常规 13 2 5 2" xfId="209"/>
    <cellStyle name="常规 13 2 5 2 2" xfId="210"/>
    <cellStyle name="常规 13 2 5 2 2 2" xfId="211"/>
    <cellStyle name="常规 13 2 5 2 2 2 2" xfId="212"/>
    <cellStyle name="常规 13 2 5 2 2 2 2 2" xfId="213"/>
    <cellStyle name="常规 13 2 5 2 2 2 2_2018年各单位业务费和专项经费表" xfId="214"/>
    <cellStyle name="常规 13 2 5 2 2 3" xfId="215"/>
    <cellStyle name="常规 13 2 5 2 2 3 2" xfId="216"/>
    <cellStyle name="常规 13 2 5 2 2 3_2018年各单位业务费和专项经费表" xfId="217"/>
    <cellStyle name="常规 13 2 5 2 3" xfId="218"/>
    <cellStyle name="常规 13 2 5 2 3 2" xfId="219"/>
    <cellStyle name="常规 13 2 5 2 3 2 2" xfId="220"/>
    <cellStyle name="常规 13 2 5 2 3 2_2018年各单位业务费和专项经费表" xfId="221"/>
    <cellStyle name="常规 13 2 5 2 3 3" xfId="222"/>
    <cellStyle name="常规 13 2 5 2 3_2018年各单位业务费和专项经费表" xfId="223"/>
    <cellStyle name="常规 13 2 5 2 4" xfId="224"/>
    <cellStyle name="常规 13 2 5 2 4 2" xfId="225"/>
    <cellStyle name="常规 13 2 5 2 4 2 2" xfId="226"/>
    <cellStyle name="常规 13 2 5 2 4 2_2018年各单位业务费和专项经费表" xfId="227"/>
    <cellStyle name="常规 13 2 5 2 5" xfId="228"/>
    <cellStyle name="常规 13 2 5 2 5 2" xfId="229"/>
    <cellStyle name="常规 13 2 5 2 5_2018年各单位业务费和专项经费表" xfId="230"/>
    <cellStyle name="常规 13 2 5 2_2018年各单位业务费和专项经费表" xfId="231"/>
    <cellStyle name="常规 13 2 6" xfId="232"/>
    <cellStyle name="常规 13 2 6 2" xfId="233"/>
    <cellStyle name="常规 13 2 6 2 2" xfId="234"/>
    <cellStyle name="常规 13 2 6 2 2 2" xfId="235"/>
    <cellStyle name="常规 13 2 6 2 2_2018年各单位业务费和专项经费表" xfId="236"/>
    <cellStyle name="常规 13 2 6 3" xfId="237"/>
    <cellStyle name="常规 13 2 6 3 2" xfId="238"/>
    <cellStyle name="常规 13 2 6 3_2018年各单位业务费和专项经费表" xfId="239"/>
    <cellStyle name="常规 13 2 7" xfId="240"/>
    <cellStyle name="常规 13 2 7 2" xfId="241"/>
    <cellStyle name="常规 13 2 7 2 2" xfId="242"/>
    <cellStyle name="常规 13 2 7 2_2018年各单位业务费和专项经费表" xfId="243"/>
    <cellStyle name="常规 13 2 7 3" xfId="244"/>
    <cellStyle name="常规 13 2 7_2018年各单位业务费和专项经费表" xfId="245"/>
    <cellStyle name="常规 13 2 8" xfId="246"/>
    <cellStyle name="常规 13 2 8 2" xfId="247"/>
    <cellStyle name="常规 13 2 8_2018年各单位业务费和专项经费表" xfId="248"/>
    <cellStyle name="常规 13 2 9" xfId="249"/>
    <cellStyle name="常规 13 2_2018年各单位业务费和专项经费表" xfId="250"/>
    <cellStyle name="常规 14" xfId="251"/>
    <cellStyle name="常规 15" xfId="252"/>
    <cellStyle name="常规 16" xfId="253"/>
    <cellStyle name="常规 17" xfId="254"/>
    <cellStyle name="常规 18" xfId="255"/>
    <cellStyle name="常规 19" xfId="256"/>
    <cellStyle name="常规 2" xfId="257"/>
    <cellStyle name="常规 2 2" xfId="258"/>
    <cellStyle name="常规 2 2 2" xfId="259"/>
    <cellStyle name="常规 2 2 2 2" xfId="260"/>
    <cellStyle name="常规 2 2 2 2 2" xfId="261"/>
    <cellStyle name="常规 2 2 2 2 2 2" xfId="262"/>
    <cellStyle name="常规 2 2 2 2 2 2 2" xfId="263"/>
    <cellStyle name="常规 2 2 2 2 2 2 2 2" xfId="264"/>
    <cellStyle name="常规 2 2 2 2 2 2 2_2018年各单位业务费和专项经费表" xfId="265"/>
    <cellStyle name="常规 2 2 2 2 2 3" xfId="266"/>
    <cellStyle name="常规 2 2 2 2 2 3 2" xfId="267"/>
    <cellStyle name="常规 2 2 2 2 2 3_2018年各单位业务费和专项经费表" xfId="268"/>
    <cellStyle name="常规 2 2 2 2 3" xfId="269"/>
    <cellStyle name="常规 2 2 2 2 3 2" xfId="270"/>
    <cellStyle name="常规 2 2 2 2 3 2 2" xfId="271"/>
    <cellStyle name="常规 2 2 2 2 3 2 2 2" xfId="272"/>
    <cellStyle name="常规 2 2 2 2 3 2 2_2018年各单位业务费和专项经费表" xfId="273"/>
    <cellStyle name="常规 2 2 2 2 3 3" xfId="274"/>
    <cellStyle name="常规 2 2 2 2 3 3 2" xfId="275"/>
    <cellStyle name="常规 2 2 2 2 3 3_2018年各单位业务费和专项经费表" xfId="276"/>
    <cellStyle name="常规 2 2 2 2 4" xfId="277"/>
    <cellStyle name="常规 2 2 2 2 4 2" xfId="278"/>
    <cellStyle name="常规 2 2 2 2 4 2 2" xfId="279"/>
    <cellStyle name="常规 2 2 2 2 4 2_2018年各单位业务费和专项经费表" xfId="280"/>
    <cellStyle name="常规 2 2 2 2 4 3" xfId="281"/>
    <cellStyle name="常规 2 2 2 2 4_2018年各单位业务费和专项经费表" xfId="282"/>
    <cellStyle name="常规 2 2 2 2 5" xfId="283"/>
    <cellStyle name="常规 2 2 2 2 5 2" xfId="284"/>
    <cellStyle name="常规 2 2 2 2 5 2 2" xfId="285"/>
    <cellStyle name="常规 2 2 2 2 5 2_2018年各单位业务费和专项经费表" xfId="286"/>
    <cellStyle name="常规 2 2 2 2 6" xfId="287"/>
    <cellStyle name="常规 2 2 2 2 6 2" xfId="288"/>
    <cellStyle name="常规 2 2 2 2 6_2018年各单位业务费和专项经费表" xfId="289"/>
    <cellStyle name="常规 2 2 2 2_2018年各单位业务费和专项经费表" xfId="290"/>
    <cellStyle name="常规 2 2 2 3" xfId="291"/>
    <cellStyle name="常规 2 2 2 3 2" xfId="292"/>
    <cellStyle name="常规 2 2 2 3 2 2" xfId="293"/>
    <cellStyle name="常规 2 2 2 3 2 2 2" xfId="294"/>
    <cellStyle name="常规 2 2 2 3 2 2 2 2" xfId="295"/>
    <cellStyle name="常规 2 2 2 3 2 2 2_2018年各单位业务费和专项经费表" xfId="296"/>
    <cellStyle name="常规 2 2 2 3 2 3" xfId="297"/>
    <cellStyle name="常规 2 2 2 3 2 3 2" xfId="298"/>
    <cellStyle name="常规 2 2 2 3 2 3_2018年各单位业务费和专项经费表" xfId="299"/>
    <cellStyle name="常规 2 2 2 3 3" xfId="300"/>
    <cellStyle name="常规 2 2 2 3 3 2" xfId="301"/>
    <cellStyle name="常规 2 2 2 3 3 2 2" xfId="302"/>
    <cellStyle name="常规 2 2 2 3 3 2_2018年各单位业务费和专项经费表" xfId="303"/>
    <cellStyle name="常规 2 2 2 3 3 3" xfId="304"/>
    <cellStyle name="常规 2 2 2 3 3_2018年各单位业务费和专项经费表" xfId="305"/>
    <cellStyle name="常规 2 2 2 3 4" xfId="306"/>
    <cellStyle name="常规 2 2 2 3 4 2" xfId="307"/>
    <cellStyle name="常规 2 2 2 3 4 2 2" xfId="308"/>
    <cellStyle name="常规 2 2 2 3 4 2_2018年各单位业务费和专项经费表" xfId="309"/>
    <cellStyle name="常规 2 2 2 3 5" xfId="310"/>
    <cellStyle name="常规 2 2 2 3 5 2" xfId="311"/>
    <cellStyle name="常规 2 2 2 3 5_2018年各单位业务费和专项经费表" xfId="312"/>
    <cellStyle name="常规 2 2 2 3_2018年各单位业务费和专项经费表" xfId="313"/>
    <cellStyle name="常规 2 2 3" xfId="314"/>
    <cellStyle name="常规 2 2 3 2" xfId="315"/>
    <cellStyle name="常规 2 2 3 2 2" xfId="316"/>
    <cellStyle name="常规 2 2 3 2 2 2" xfId="317"/>
    <cellStyle name="常规 2 2 3 2 2 2 2" xfId="318"/>
    <cellStyle name="常规 2 2 3 2 2 2_2018年各单位业务费和专项经费表" xfId="319"/>
    <cellStyle name="常规 2 2 3 2 3" xfId="320"/>
    <cellStyle name="常规 2 2 3 2 3 2" xfId="321"/>
    <cellStyle name="常规 2 2 3 2 3_2018年各单位业务费和专项经费表" xfId="322"/>
    <cellStyle name="常规 2 2 3 3" xfId="323"/>
    <cellStyle name="常规 2 2 3 3 2" xfId="324"/>
    <cellStyle name="常规 2 2 3 3 2 2" xfId="325"/>
    <cellStyle name="常规 2 2 3 3 2_2018年各单位业务费和专项经费表" xfId="326"/>
    <cellStyle name="常规 2 2 3 3 3" xfId="327"/>
    <cellStyle name="常规 2 2 3 3_2018年各单位业务费和专项经费表" xfId="328"/>
    <cellStyle name="常规 2 2 3 4" xfId="329"/>
    <cellStyle name="常规 2 2 3 4 2" xfId="330"/>
    <cellStyle name="常规 2 2 3 4 2 2" xfId="331"/>
    <cellStyle name="常规 2 2 3 4 2_2018年各单位业务费和专项经费表" xfId="332"/>
    <cellStyle name="常规 2 2 3 5" xfId="333"/>
    <cellStyle name="常规 2 2 3 5 2" xfId="334"/>
    <cellStyle name="常规 2 2 3 5_2018年各单位业务费和专项经费表" xfId="335"/>
    <cellStyle name="常规 2 2 3_2018年各单位业务费和专项经费表" xfId="336"/>
    <cellStyle name="常规 2 2 4" xfId="337"/>
    <cellStyle name="常规 2 2 4 2" xfId="338"/>
    <cellStyle name="常规 2 2 4 2 2" xfId="339"/>
    <cellStyle name="常规 2 2 4 2 2 2" xfId="340"/>
    <cellStyle name="常规 2 2 4 2 2 2 2" xfId="341"/>
    <cellStyle name="常规 2 2 4 2 2 2 2 2" xfId="342"/>
    <cellStyle name="常规 2 2 4 2 2 2 2_2018年各单位业务费和专项经费表" xfId="343"/>
    <cellStyle name="常规 2 2 4 2 2 3" xfId="344"/>
    <cellStyle name="常规 2 2 4 2 2 3 2" xfId="345"/>
    <cellStyle name="常规 2 2 4 2 2 3_2018年各单位业务费和专项经费表" xfId="346"/>
    <cellStyle name="常规 2 2 4 2 3" xfId="347"/>
    <cellStyle name="常规 2 2 4 2 3 2" xfId="348"/>
    <cellStyle name="常规 2 2 4 2 3 2 2" xfId="349"/>
    <cellStyle name="常规 2 2 4 2 3 2_2018年各单位业务费和专项经费表" xfId="350"/>
    <cellStyle name="常规 2 2 4 2 3 3" xfId="351"/>
    <cellStyle name="常规 2 2 4 2 3_2018年各单位业务费和专项经费表" xfId="352"/>
    <cellStyle name="常规 2 2 4 2 4" xfId="353"/>
    <cellStyle name="常规 2 2 4 2 4 2" xfId="354"/>
    <cellStyle name="常规 2 2 4 2 4 2 2" xfId="355"/>
    <cellStyle name="常规 2 2 4 2 4 2_2018年各单位业务费和专项经费表" xfId="356"/>
    <cellStyle name="常规 2 2 4 2 5" xfId="357"/>
    <cellStyle name="常规 2 2 4 2 5 2" xfId="358"/>
    <cellStyle name="常规 2 2 4 2 5_2018年各单位业务费和专项经费表" xfId="359"/>
    <cellStyle name="常规 2 2 4 2_2018年各单位业务费和专项经费表" xfId="360"/>
    <cellStyle name="常规 2 2 5" xfId="361"/>
    <cellStyle name="常规 2 2 5 2" xfId="362"/>
    <cellStyle name="常规 2 2 5 2 2" xfId="363"/>
    <cellStyle name="常规 2 2 5 2 2 2" xfId="364"/>
    <cellStyle name="常规 2 2 5 2 2_2018年各单位业务费和专项经费表" xfId="365"/>
    <cellStyle name="常规 2 2 5 3" xfId="366"/>
    <cellStyle name="常规 2 2 5 3 2" xfId="367"/>
    <cellStyle name="常规 2 2 5 3_2018年各单位业务费和专项经费表" xfId="368"/>
    <cellStyle name="常规 2 2 6" xfId="369"/>
    <cellStyle name="常规 2 2 6 2" xfId="370"/>
    <cellStyle name="常规 2 2 6 2 2" xfId="371"/>
    <cellStyle name="常规 2 2 6 2_2018年各单位业务费和专项经费表" xfId="372"/>
    <cellStyle name="常规 2 2 6 3" xfId="373"/>
    <cellStyle name="常规 2 2 6_2018年各单位业务费和专项经费表" xfId="374"/>
    <cellStyle name="常规 2 2 7" xfId="375"/>
    <cellStyle name="常规 2 2 7 2" xfId="376"/>
    <cellStyle name="常规 2 2 7_2018年各单位业务费和专项经费表" xfId="377"/>
    <cellStyle name="常规 2 2_2018年各单位业务费和专项经费表" xfId="378"/>
    <cellStyle name="常规 2 3" xfId="379"/>
    <cellStyle name="常规 2 3 2" xfId="380"/>
    <cellStyle name="常规 2 3 2 2" xfId="381"/>
    <cellStyle name="常规 2 3 2 2 2" xfId="382"/>
    <cellStyle name="常规 2 3 2 2 2 2" xfId="383"/>
    <cellStyle name="常规 2 3 2 2 2 2 2" xfId="384"/>
    <cellStyle name="常规 2 3 2 2 2 2_2018年各单位业务费和专项经费表" xfId="385"/>
    <cellStyle name="常规 2 3 2 2 3" xfId="386"/>
    <cellStyle name="常规 2 3 2 2 3 2" xfId="387"/>
    <cellStyle name="常规 2 3 2 2 3_2018年各单位业务费和专项经费表" xfId="388"/>
    <cellStyle name="常规 2 3 2 3" xfId="389"/>
    <cellStyle name="常规 2 3 2 3 2" xfId="390"/>
    <cellStyle name="常规 2 3 2 3 2 2" xfId="391"/>
    <cellStyle name="常规 2 3 2 3 2 2 2" xfId="392"/>
    <cellStyle name="常规 2 3 2 3 2 2_2018年各单位业务费和专项经费表" xfId="393"/>
    <cellStyle name="常规 2 3 2 3 3" xfId="394"/>
    <cellStyle name="常规 2 3 2 3 3 2" xfId="395"/>
    <cellStyle name="常规 2 3 2 3 3_2018年各单位业务费和专项经费表" xfId="396"/>
    <cellStyle name="常规 2 3 2 4" xfId="397"/>
    <cellStyle name="常规 2 3 2 4 2" xfId="398"/>
    <cellStyle name="常规 2 3 2 4 2 2" xfId="399"/>
    <cellStyle name="常规 2 3 2 4 2_2018年各单位业务费和专项经费表" xfId="400"/>
    <cellStyle name="常规 2 3 2 4 3" xfId="401"/>
    <cellStyle name="常规 2 3 2 4_2018年各单位业务费和专项经费表" xfId="402"/>
    <cellStyle name="常规 2 3 2 5" xfId="403"/>
    <cellStyle name="常规 2 3 2 5 2" xfId="404"/>
    <cellStyle name="常规 2 3 2 5 2 2" xfId="405"/>
    <cellStyle name="常规 2 3 2 5 2_2018年各单位业务费和专项经费表" xfId="406"/>
    <cellStyle name="常规 2 3 2 6" xfId="407"/>
    <cellStyle name="常规 2 3 2 6 2" xfId="408"/>
    <cellStyle name="常规 2 3 2 6_2018年各单位业务费和专项经费表" xfId="409"/>
    <cellStyle name="常规 2 3 2_2018年各单位业务费和专项经费表" xfId="410"/>
    <cellStyle name="常规 2 3 3" xfId="411"/>
    <cellStyle name="常规 2 3 3 2" xfId="412"/>
    <cellStyle name="常规 2 3 3 2 2" xfId="413"/>
    <cellStyle name="常规 2 3 3 2 2 2" xfId="414"/>
    <cellStyle name="常规 2 3 3 2 2 2 2" xfId="415"/>
    <cellStyle name="常规 2 3 3 2 2 2_2018年各单位业务费和专项经费表" xfId="416"/>
    <cellStyle name="常规 2 3 3 2 3" xfId="417"/>
    <cellStyle name="常规 2 3 3 2 3 2" xfId="418"/>
    <cellStyle name="常规 2 3 3 2 3_2018年各单位业务费和专项经费表" xfId="419"/>
    <cellStyle name="常规 2 3 3 3" xfId="420"/>
    <cellStyle name="常规 2 3 3 3 2" xfId="421"/>
    <cellStyle name="常规 2 3 3 3 2 2" xfId="422"/>
    <cellStyle name="常规 2 3 3 3 2_2018年各单位业务费和专项经费表" xfId="423"/>
    <cellStyle name="常规 2 3 3 3 3" xfId="424"/>
    <cellStyle name="常规 2 3 3 3_2018年各单位业务费和专项经费表" xfId="425"/>
    <cellStyle name="常规 2 3 3 4" xfId="426"/>
    <cellStyle name="常规 2 3 3 4 2" xfId="427"/>
    <cellStyle name="常规 2 3 3 4 2 2" xfId="428"/>
    <cellStyle name="常规 2 3 3 4 2_2018年各单位业务费和专项经费表" xfId="429"/>
    <cellStyle name="常规 2 3 3 5" xfId="430"/>
    <cellStyle name="常规 2 3 3 5 2" xfId="431"/>
    <cellStyle name="常规 2 3 3 5_2018年各单位业务费和专项经费表" xfId="432"/>
    <cellStyle name="常规 2 3 3_2018年各单位业务费和专项经费表" xfId="433"/>
    <cellStyle name="常规 2 4" xfId="434"/>
    <cellStyle name="常规 2 4 2" xfId="435"/>
    <cellStyle name="常规 2 4 2 2" xfId="436"/>
    <cellStyle name="常规 2 4 2 2 2" xfId="437"/>
    <cellStyle name="常规 2 4 2 2 2 2" xfId="438"/>
    <cellStyle name="常规 2 4 2 2 2_2018年各单位业务费和专项经费表" xfId="439"/>
    <cellStyle name="常规 2 4 2 3" xfId="440"/>
    <cellStyle name="常规 2 4 2 3 2" xfId="441"/>
    <cellStyle name="常规 2 4 2 3_2018年各单位业务费和专项经费表" xfId="442"/>
    <cellStyle name="常规 2 4 3" xfId="443"/>
    <cellStyle name="常规 2 4 3 2" xfId="444"/>
    <cellStyle name="常规 2 4 3 2 2" xfId="445"/>
    <cellStyle name="常规 2 4 3 2_2018年各单位业务费和专项经费表" xfId="446"/>
    <cellStyle name="常规 2 4 3 3" xfId="447"/>
    <cellStyle name="常规 2 4 3_2018年各单位业务费和专项经费表" xfId="448"/>
    <cellStyle name="常规 2 4 4" xfId="449"/>
    <cellStyle name="常规 2 4 4 2" xfId="450"/>
    <cellStyle name="常规 2 4 4 2 2" xfId="451"/>
    <cellStyle name="常规 2 4 4 2_2018年各单位业务费和专项经费表" xfId="452"/>
    <cellStyle name="常规 2 4 5" xfId="453"/>
    <cellStyle name="常规 2 4 5 2" xfId="454"/>
    <cellStyle name="常规 2 4 5_2018年各单位业务费和专项经费表" xfId="455"/>
    <cellStyle name="常规 2 4_2018年各单位业务费和专项经费表" xfId="456"/>
    <cellStyle name="常规 2 5" xfId="457"/>
    <cellStyle name="常规 2 5 2" xfId="458"/>
    <cellStyle name="常规 2 5 2 2" xfId="459"/>
    <cellStyle name="常规 2 5 2 2 2" xfId="460"/>
    <cellStyle name="常规 2 5 2 2_2018年各单位业务费和专项经费表" xfId="461"/>
    <cellStyle name="常规 2 5 3" xfId="462"/>
    <cellStyle name="常规 2 5 3 2" xfId="463"/>
    <cellStyle name="常规 2 5 3_2018年各单位业务费和专项经费表" xfId="464"/>
    <cellStyle name="常规 2 6" xfId="465"/>
    <cellStyle name="常规 2 6 2" xfId="466"/>
    <cellStyle name="常规 2 6 2 2" xfId="467"/>
    <cellStyle name="常规 2 6 2_2018年各单位业务费和专项经费表" xfId="468"/>
    <cellStyle name="常规 2 6 3" xfId="469"/>
    <cellStyle name="常规 2 6_2018年各单位业务费和专项经费表" xfId="470"/>
    <cellStyle name="常规 2 7" xfId="471"/>
    <cellStyle name="常规 2 7 2" xfId="472"/>
    <cellStyle name="常规 2 7_2018年各单位业务费和专项经费表" xfId="473"/>
    <cellStyle name="常规 2 8" xfId="474"/>
    <cellStyle name="常规 2 9" xfId="475"/>
    <cellStyle name="常规 2_2018年各单位业务费和专项经费表" xfId="476"/>
    <cellStyle name="常规 20" xfId="477"/>
    <cellStyle name="常规 3" xfId="478"/>
    <cellStyle name="常规 4" xfId="479"/>
    <cellStyle name="常规 4 2" xfId="489"/>
    <cellStyle name="常规 4 2 2" xfId="480"/>
    <cellStyle name="常规 5" xfId="481"/>
    <cellStyle name="常规 6" xfId="482"/>
    <cellStyle name="常规 6 2" xfId="490"/>
    <cellStyle name="常规 7" xfId="483"/>
    <cellStyle name="常规 8" xfId="484"/>
    <cellStyle name="常规 9" xfId="485"/>
  </cellStyles>
  <dxfs count="1">
    <dxf>
      <font>
        <b val="0"/>
        <i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4180;&#37038;&#20214;/2.2021&#24180;&#22320;&#26041;&#36130;&#25919;&#39044;&#31639;&#34920;&#65288;&#24102;&#20844;&#24335;&#65292;&#20197;&#27492;&#20026;&#2093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0&#24180;&#37038;&#20214;\2.2021&#24180;&#22320;&#26041;&#36130;&#25919;&#39044;&#31639;&#34920;&#65288;&#24102;&#20844;&#24335;&#65292;&#20197;&#27492;&#20026;&#20934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78;&#25253;&#37038;&#20214;/2019&#24180;&#22320;&#26041;&#36130;&#25919;&#39044;&#31639;&#34920;&#65288;&#24102;&#20844;&#24335;&#65292;&#23450;&#65289;(&#26032;&#37045;&#19978;&#25253;&#27491;&#3129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校验表"/>
      <sheetName val="表一"/>
      <sheetName val="表二（旧）"/>
      <sheetName val="表二（新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84">
          <cell r="B184">
            <v>0</v>
          </cell>
        </row>
      </sheetData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opLeftCell="A10" workbookViewId="0">
      <selection activeCell="J9" sqref="J9"/>
    </sheetView>
  </sheetViews>
  <sheetFormatPr defaultColWidth="10" defaultRowHeight="14.25"/>
  <cols>
    <col min="1" max="1" width="9.875" customWidth="1"/>
    <col min="2" max="2" width="66.875" customWidth="1"/>
    <col min="3" max="7" width="9.75" customWidth="1"/>
  </cols>
  <sheetData>
    <row r="1" spans="1:6" ht="32.85" customHeight="1">
      <c r="A1" s="205" t="s">
        <v>6</v>
      </c>
      <c r="B1" s="205"/>
    </row>
    <row r="2" spans="1:6" ht="27" customHeight="1">
      <c r="A2" s="8" t="s">
        <v>5</v>
      </c>
      <c r="B2" s="9" t="s">
        <v>4</v>
      </c>
    </row>
    <row r="3" spans="1:6" ht="27" customHeight="1">
      <c r="A3" s="8" t="s">
        <v>3</v>
      </c>
      <c r="B3" s="9" t="s">
        <v>2</v>
      </c>
    </row>
    <row r="4" spans="1:6" ht="27" customHeight="1">
      <c r="A4" s="8" t="s">
        <v>1</v>
      </c>
      <c r="B4" s="7" t="s">
        <v>0</v>
      </c>
    </row>
    <row r="5" spans="1:6" ht="27" customHeight="1">
      <c r="A5" s="4">
        <v>1</v>
      </c>
      <c r="B5" s="6" t="s">
        <v>575</v>
      </c>
      <c r="C5" s="5"/>
    </row>
    <row r="6" spans="1:6" ht="27" customHeight="1">
      <c r="A6" s="1">
        <v>2</v>
      </c>
      <c r="B6" s="3" t="s">
        <v>576</v>
      </c>
    </row>
    <row r="7" spans="1:6" ht="27" customHeight="1">
      <c r="A7" s="1">
        <v>3</v>
      </c>
      <c r="B7" s="3" t="s">
        <v>577</v>
      </c>
      <c r="F7" s="5"/>
    </row>
    <row r="8" spans="1:6" ht="27" customHeight="1">
      <c r="A8" s="4">
        <v>4</v>
      </c>
      <c r="B8" s="3" t="s">
        <v>578</v>
      </c>
    </row>
    <row r="9" spans="1:6" ht="27" customHeight="1">
      <c r="A9" s="1">
        <v>5</v>
      </c>
      <c r="B9" s="3" t="s">
        <v>579</v>
      </c>
    </row>
    <row r="10" spans="1:6" ht="27" customHeight="1">
      <c r="A10" s="1">
        <v>6</v>
      </c>
      <c r="B10" s="3" t="s">
        <v>581</v>
      </c>
    </row>
    <row r="11" spans="1:6" ht="27" customHeight="1">
      <c r="A11" s="4">
        <v>7</v>
      </c>
      <c r="B11" s="3" t="s">
        <v>582</v>
      </c>
    </row>
    <row r="12" spans="1:6" ht="27" customHeight="1">
      <c r="A12" s="1">
        <v>8</v>
      </c>
      <c r="B12" s="3" t="s">
        <v>583</v>
      </c>
    </row>
    <row r="13" spans="1:6" ht="27" customHeight="1">
      <c r="A13" s="1">
        <v>9</v>
      </c>
      <c r="B13" s="3" t="s">
        <v>580</v>
      </c>
    </row>
    <row r="14" spans="1:6" ht="27" customHeight="1">
      <c r="A14" s="4">
        <v>10</v>
      </c>
      <c r="B14" s="3" t="s">
        <v>584</v>
      </c>
    </row>
    <row r="15" spans="1:6" ht="27" customHeight="1">
      <c r="A15" s="4">
        <v>11</v>
      </c>
      <c r="B15" s="3" t="s">
        <v>585</v>
      </c>
    </row>
    <row r="16" spans="1:6" ht="27" customHeight="1">
      <c r="A16" s="1">
        <v>12</v>
      </c>
      <c r="B16" s="3" t="s">
        <v>586</v>
      </c>
    </row>
    <row r="17" spans="1:2" ht="27" customHeight="1">
      <c r="A17" s="1">
        <v>13</v>
      </c>
      <c r="B17" s="3" t="s">
        <v>587</v>
      </c>
    </row>
    <row r="18" spans="1:2" ht="27" customHeight="1">
      <c r="A18" s="4">
        <v>14</v>
      </c>
      <c r="B18" s="3" t="s">
        <v>591</v>
      </c>
    </row>
    <row r="19" spans="1:2" ht="27" customHeight="1">
      <c r="A19" s="1">
        <v>15</v>
      </c>
      <c r="B19" s="3" t="s">
        <v>592</v>
      </c>
    </row>
    <row r="20" spans="1:2" ht="27" customHeight="1">
      <c r="A20" s="202">
        <v>16</v>
      </c>
      <c r="B20" s="2" t="s">
        <v>588</v>
      </c>
    </row>
    <row r="21" spans="1:2" ht="27" customHeight="1">
      <c r="A21" s="203">
        <v>17</v>
      </c>
      <c r="B21" s="204" t="s">
        <v>589</v>
      </c>
    </row>
    <row r="22" spans="1:2" ht="24" customHeight="1">
      <c r="A22" s="203">
        <v>18</v>
      </c>
      <c r="B22" s="204" t="s">
        <v>590</v>
      </c>
    </row>
  </sheetData>
  <mergeCells count="1">
    <mergeCell ref="A1:B1"/>
  </mergeCells>
  <phoneticPr fontId="2" type="noConversion"/>
  <printOptions horizontalCentered="1"/>
  <pageMargins left="0.70866141732283505" right="0.70866141732283505" top="0.74803149606299202" bottom="0.55118110236220497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showZeros="0" workbookViewId="0">
      <selection activeCell="G35" sqref="G35"/>
    </sheetView>
  </sheetViews>
  <sheetFormatPr defaultColWidth="9" defaultRowHeight="14.25"/>
  <cols>
    <col min="1" max="1" width="37.75" customWidth="1"/>
    <col min="2" max="2" width="8.625" customWidth="1"/>
    <col min="3" max="3" width="8" hidden="1" customWidth="1"/>
    <col min="4" max="5" width="8" customWidth="1"/>
  </cols>
  <sheetData>
    <row r="1" spans="1:5" ht="22.5">
      <c r="A1" s="250" t="s">
        <v>506</v>
      </c>
      <c r="B1" s="250"/>
      <c r="C1" s="250"/>
      <c r="D1" s="250"/>
      <c r="E1" s="250"/>
    </row>
    <row r="2" spans="1:5">
      <c r="A2" s="254" t="s">
        <v>9</v>
      </c>
      <c r="B2" s="254"/>
      <c r="C2" s="254"/>
      <c r="D2" s="254"/>
      <c r="E2" s="254"/>
    </row>
    <row r="3" spans="1:5" ht="18.75">
      <c r="A3" s="251" t="s">
        <v>432</v>
      </c>
      <c r="B3" s="252"/>
      <c r="C3" s="252"/>
      <c r="D3" s="252"/>
      <c r="E3" s="253"/>
    </row>
    <row r="4" spans="1:5">
      <c r="A4" s="131" t="s">
        <v>433</v>
      </c>
      <c r="B4" s="131" t="s">
        <v>298</v>
      </c>
      <c r="C4" s="131"/>
      <c r="D4" s="131" t="s">
        <v>435</v>
      </c>
      <c r="E4" s="131" t="s">
        <v>72</v>
      </c>
    </row>
    <row r="5" spans="1:5">
      <c r="A5" s="134" t="s">
        <v>437</v>
      </c>
      <c r="B5" s="135"/>
      <c r="C5" s="136"/>
      <c r="D5" s="136">
        <f>D6+D7</f>
        <v>9</v>
      </c>
      <c r="E5" s="136">
        <f>SUM(B5:D5)</f>
        <v>9</v>
      </c>
    </row>
    <row r="6" spans="1:5">
      <c r="A6" s="137" t="s">
        <v>439</v>
      </c>
      <c r="B6" s="133"/>
      <c r="C6" s="136"/>
      <c r="D6" s="136">
        <v>8</v>
      </c>
      <c r="E6" s="136">
        <f t="shared" ref="E6:E30" si="0">SUM(B6:D6)</f>
        <v>8</v>
      </c>
    </row>
    <row r="7" spans="1:5">
      <c r="A7" s="138" t="s">
        <v>441</v>
      </c>
      <c r="B7" s="136"/>
      <c r="C7" s="136"/>
      <c r="D7" s="136">
        <v>1</v>
      </c>
      <c r="E7" s="136">
        <f t="shared" si="0"/>
        <v>1</v>
      </c>
    </row>
    <row r="8" spans="1:5">
      <c r="A8" s="134" t="s">
        <v>443</v>
      </c>
      <c r="B8" s="133"/>
      <c r="C8" s="136"/>
      <c r="D8" s="136">
        <f>SUM(D9:D10)</f>
        <v>6760</v>
      </c>
      <c r="E8" s="136">
        <f t="shared" si="0"/>
        <v>6760</v>
      </c>
    </row>
    <row r="9" spans="1:5">
      <c r="A9" s="137" t="s">
        <v>445</v>
      </c>
      <c r="B9" s="133"/>
      <c r="C9" s="136"/>
      <c r="D9" s="136">
        <v>6760</v>
      </c>
      <c r="E9" s="136">
        <f t="shared" si="0"/>
        <v>6760</v>
      </c>
    </row>
    <row r="10" spans="1:5">
      <c r="A10" s="137" t="s">
        <v>447</v>
      </c>
      <c r="B10" s="133"/>
      <c r="C10" s="136"/>
      <c r="D10" s="136"/>
      <c r="E10" s="136">
        <f t="shared" si="0"/>
        <v>0</v>
      </c>
    </row>
    <row r="11" spans="1:5">
      <c r="A11" s="134" t="s">
        <v>449</v>
      </c>
      <c r="B11" s="133"/>
      <c r="C11" s="136"/>
      <c r="D11" s="136"/>
      <c r="E11" s="136">
        <f t="shared" si="0"/>
        <v>0</v>
      </c>
    </row>
    <row r="12" spans="1:5">
      <c r="A12" s="134" t="s">
        <v>451</v>
      </c>
      <c r="B12" s="133">
        <f>SUM(B13:B17)</f>
        <v>44100</v>
      </c>
      <c r="C12" s="133"/>
      <c r="D12" s="133">
        <f t="shared" ref="D12" si="1">SUM(D13:D17)</f>
        <v>8909</v>
      </c>
      <c r="E12" s="136">
        <f t="shared" si="0"/>
        <v>53009</v>
      </c>
    </row>
    <row r="13" spans="1:5">
      <c r="A13" s="134" t="s">
        <v>453</v>
      </c>
      <c r="B13" s="133">
        <v>43100</v>
      </c>
      <c r="C13" s="136"/>
      <c r="D13" s="136">
        <v>6468</v>
      </c>
      <c r="E13" s="136">
        <f t="shared" si="0"/>
        <v>49568</v>
      </c>
    </row>
    <row r="14" spans="1:5">
      <c r="A14" s="134" t="s">
        <v>455</v>
      </c>
      <c r="B14" s="133"/>
      <c r="C14" s="136"/>
      <c r="D14" s="136">
        <v>55</v>
      </c>
      <c r="E14" s="136">
        <f t="shared" si="0"/>
        <v>55</v>
      </c>
    </row>
    <row r="15" spans="1:5">
      <c r="A15" s="134" t="s">
        <v>457</v>
      </c>
      <c r="B15" s="133"/>
      <c r="C15" s="136"/>
      <c r="D15" s="136"/>
      <c r="E15" s="136">
        <f t="shared" si="0"/>
        <v>0</v>
      </c>
    </row>
    <row r="16" spans="1:5">
      <c r="A16" s="134" t="s">
        <v>459</v>
      </c>
      <c r="B16" s="133">
        <v>500</v>
      </c>
      <c r="C16" s="136"/>
      <c r="D16" s="136">
        <v>1413</v>
      </c>
      <c r="E16" s="136">
        <f t="shared" si="0"/>
        <v>1913</v>
      </c>
    </row>
    <row r="17" spans="1:5">
      <c r="A17" s="134" t="s">
        <v>461</v>
      </c>
      <c r="B17" s="133">
        <v>500</v>
      </c>
      <c r="C17" s="136"/>
      <c r="D17" s="136">
        <v>973</v>
      </c>
      <c r="E17" s="136">
        <f t="shared" si="0"/>
        <v>1473</v>
      </c>
    </row>
    <row r="18" spans="1:5">
      <c r="A18" s="134" t="s">
        <v>463</v>
      </c>
      <c r="B18" s="133"/>
      <c r="C18" s="136"/>
      <c r="D18" s="136"/>
      <c r="E18" s="136">
        <f t="shared" si="0"/>
        <v>0</v>
      </c>
    </row>
    <row r="19" spans="1:5">
      <c r="A19" s="140" t="s">
        <v>465</v>
      </c>
      <c r="B19" s="133"/>
      <c r="C19" s="136"/>
      <c r="D19" s="136"/>
      <c r="E19" s="136">
        <f t="shared" si="0"/>
        <v>0</v>
      </c>
    </row>
    <row r="20" spans="1:5">
      <c r="A20" s="140" t="s">
        <v>467</v>
      </c>
      <c r="B20" s="133"/>
      <c r="C20" s="136"/>
      <c r="D20" s="136"/>
      <c r="E20" s="136">
        <f t="shared" si="0"/>
        <v>0</v>
      </c>
    </row>
    <row r="21" spans="1:5">
      <c r="A21" s="140" t="s">
        <v>468</v>
      </c>
      <c r="B21" s="133"/>
      <c r="C21" s="136"/>
      <c r="D21" s="136"/>
      <c r="E21" s="136">
        <f t="shared" si="0"/>
        <v>0</v>
      </c>
    </row>
    <row r="22" spans="1:5">
      <c r="A22" s="137" t="s">
        <v>469</v>
      </c>
      <c r="B22" s="133"/>
      <c r="C22" s="136"/>
      <c r="D22" s="136"/>
      <c r="E22" s="136">
        <f t="shared" si="0"/>
        <v>0</v>
      </c>
    </row>
    <row r="23" spans="1:5">
      <c r="A23" s="137" t="s">
        <v>470</v>
      </c>
      <c r="B23" s="133"/>
      <c r="C23" s="136"/>
      <c r="D23" s="136"/>
      <c r="E23" s="136">
        <f t="shared" si="0"/>
        <v>0</v>
      </c>
    </row>
    <row r="24" spans="1:5">
      <c r="A24" s="137" t="s">
        <v>471</v>
      </c>
      <c r="B24" s="133"/>
      <c r="C24" s="136"/>
      <c r="D24" s="136"/>
      <c r="E24" s="136">
        <f t="shared" si="0"/>
        <v>0</v>
      </c>
    </row>
    <row r="25" spans="1:5">
      <c r="A25" s="137" t="s">
        <v>472</v>
      </c>
      <c r="B25" s="142"/>
      <c r="C25" s="136"/>
      <c r="D25" s="136">
        <f>1370+12171</f>
        <v>13541</v>
      </c>
      <c r="E25" s="136">
        <f t="shared" si="0"/>
        <v>13541</v>
      </c>
    </row>
    <row r="26" spans="1:5">
      <c r="A26" s="137" t="s">
        <v>473</v>
      </c>
      <c r="B26" s="142"/>
      <c r="C26" s="136"/>
      <c r="D26" s="136"/>
      <c r="E26" s="136">
        <f t="shared" si="0"/>
        <v>0</v>
      </c>
    </row>
    <row r="27" spans="1:5">
      <c r="A27" s="140" t="s">
        <v>474</v>
      </c>
      <c r="B27" s="142">
        <v>7900</v>
      </c>
      <c r="C27" s="136"/>
      <c r="D27" s="136"/>
      <c r="E27" s="136">
        <f t="shared" si="0"/>
        <v>7900</v>
      </c>
    </row>
    <row r="28" spans="1:5">
      <c r="A28" s="137" t="s">
        <v>475</v>
      </c>
      <c r="B28" s="142"/>
      <c r="C28" s="136"/>
      <c r="D28" s="136"/>
      <c r="E28" s="136">
        <f t="shared" si="0"/>
        <v>0</v>
      </c>
    </row>
    <row r="29" spans="1:5">
      <c r="A29" s="144" t="s">
        <v>477</v>
      </c>
      <c r="B29" s="136">
        <f>B5+B8+B11+B12+B18+B22+B23+B24+B25+B27+B28</f>
        <v>52000</v>
      </c>
      <c r="C29" s="136"/>
      <c r="D29" s="136">
        <f>D5+D8+D11+D12+D18+D22+D23+D24+D25+D27+D28+D26</f>
        <v>29219</v>
      </c>
      <c r="E29" s="136">
        <f t="shared" si="0"/>
        <v>81219</v>
      </c>
    </row>
    <row r="30" spans="1:5" s="149" customFormat="1" ht="20.100000000000001" customHeight="1">
      <c r="A30" s="147" t="s">
        <v>479</v>
      </c>
      <c r="B30" s="146">
        <f>B31+B34+B35+B36+B37</f>
        <v>79000</v>
      </c>
      <c r="C30" s="148"/>
      <c r="D30" s="148"/>
      <c r="E30" s="148">
        <f t="shared" si="0"/>
        <v>79000</v>
      </c>
    </row>
    <row r="31" spans="1:5" s="149" customFormat="1" ht="20.100000000000001" customHeight="1">
      <c r="A31" s="146" t="s">
        <v>481</v>
      </c>
      <c r="B31" s="146"/>
      <c r="C31" s="148"/>
      <c r="D31" s="148"/>
      <c r="E31" s="148">
        <f t="shared" ref="E31:E41" si="2">SUM(B31:D31)</f>
        <v>0</v>
      </c>
    </row>
    <row r="32" spans="1:5" s="149" customFormat="1" ht="20.100000000000001" customHeight="1">
      <c r="A32" s="146" t="s">
        <v>483</v>
      </c>
      <c r="B32" s="146"/>
      <c r="C32" s="148"/>
      <c r="D32" s="148"/>
      <c r="E32" s="148">
        <f t="shared" si="2"/>
        <v>0</v>
      </c>
    </row>
    <row r="33" spans="1:5" s="149" customFormat="1" ht="20.100000000000001" customHeight="1">
      <c r="A33" s="146" t="s">
        <v>485</v>
      </c>
      <c r="B33" s="146"/>
      <c r="C33" s="148"/>
      <c r="D33" s="148"/>
      <c r="E33" s="148">
        <f t="shared" si="2"/>
        <v>0</v>
      </c>
    </row>
    <row r="34" spans="1:5" s="149" customFormat="1" ht="20.100000000000001" customHeight="1">
      <c r="A34" s="146" t="s">
        <v>487</v>
      </c>
      <c r="B34" s="146">
        <v>70000</v>
      </c>
      <c r="C34" s="148"/>
      <c r="D34" s="148"/>
      <c r="E34" s="148">
        <f t="shared" si="2"/>
        <v>70000</v>
      </c>
    </row>
    <row r="35" spans="1:5" s="149" customFormat="1" ht="20.100000000000001" customHeight="1">
      <c r="A35" s="146" t="s">
        <v>489</v>
      </c>
      <c r="B35" s="146"/>
      <c r="C35" s="148"/>
      <c r="D35" s="148"/>
      <c r="E35" s="148">
        <f t="shared" si="2"/>
        <v>0</v>
      </c>
    </row>
    <row r="36" spans="1:5" s="149" customFormat="1" ht="20.100000000000001" customHeight="1">
      <c r="A36" s="152" t="s">
        <v>491</v>
      </c>
      <c r="B36" s="146">
        <v>9000</v>
      </c>
      <c r="C36" s="148"/>
      <c r="D36" s="148"/>
      <c r="E36" s="148">
        <f t="shared" si="2"/>
        <v>9000</v>
      </c>
    </row>
    <row r="37" spans="1:5" s="149" customFormat="1" ht="20.100000000000001" customHeight="1">
      <c r="A37" s="152" t="s">
        <v>493</v>
      </c>
      <c r="B37" s="146"/>
      <c r="C37" s="148"/>
      <c r="D37" s="148"/>
      <c r="E37" s="148">
        <f t="shared" si="2"/>
        <v>0</v>
      </c>
    </row>
    <row r="38" spans="1:5" s="149" customFormat="1" ht="20.100000000000001" customHeight="1">
      <c r="A38" s="146">
        <f>[3]表九!B184</f>
        <v>0</v>
      </c>
      <c r="B38" s="146"/>
      <c r="C38" s="148"/>
      <c r="D38" s="148"/>
      <c r="E38" s="148">
        <f t="shared" si="2"/>
        <v>0</v>
      </c>
    </row>
    <row r="39" spans="1:5">
      <c r="A39" s="154"/>
      <c r="B39" s="142"/>
      <c r="C39" s="136"/>
      <c r="D39" s="136"/>
      <c r="E39" s="148">
        <f t="shared" si="2"/>
        <v>0</v>
      </c>
    </row>
    <row r="40" spans="1:5">
      <c r="A40" s="154"/>
      <c r="B40" s="142"/>
      <c r="C40" s="136"/>
      <c r="D40" s="136"/>
      <c r="E40" s="148">
        <f t="shared" si="2"/>
        <v>0</v>
      </c>
    </row>
    <row r="41" spans="1:5">
      <c r="A41" s="135" t="s">
        <v>496</v>
      </c>
      <c r="B41" s="142">
        <f>B29+B30</f>
        <v>131000</v>
      </c>
      <c r="C41" s="142"/>
      <c r="D41" s="142">
        <f t="shared" ref="D41" si="3">D29+D30</f>
        <v>29219</v>
      </c>
      <c r="E41" s="148">
        <f t="shared" si="2"/>
        <v>160219</v>
      </c>
    </row>
    <row r="42" spans="1:5">
      <c r="A42" s="130"/>
      <c r="B42" s="130"/>
    </row>
    <row r="43" spans="1:5">
      <c r="A43" s="130"/>
      <c r="B43" s="130"/>
    </row>
    <row r="44" spans="1:5">
      <c r="A44" s="130"/>
      <c r="B44" s="130"/>
    </row>
    <row r="45" spans="1:5">
      <c r="A45" s="130"/>
      <c r="B45" s="130"/>
    </row>
    <row r="46" spans="1:5">
      <c r="A46" s="130"/>
      <c r="B46" s="130"/>
    </row>
    <row r="47" spans="1:5">
      <c r="A47" s="130"/>
      <c r="B47" s="130"/>
    </row>
    <row r="48" spans="1:5">
      <c r="A48" s="130"/>
      <c r="B48" s="130"/>
    </row>
  </sheetData>
  <mergeCells count="3">
    <mergeCell ref="A2:E2"/>
    <mergeCell ref="A3:E3"/>
    <mergeCell ref="A1:E1"/>
  </mergeCells>
  <phoneticPr fontId="2" type="noConversion"/>
  <pageMargins left="0.31496062992126" right="0.31496062992126" top="0.74803149606299202" bottom="0.74803149606299202" header="0.31496062992126" footer="0.31496062992126"/>
  <pageSetup paperSize="9" orientation="landscape" useFirstPageNumber="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showZeros="0" workbookViewId="0">
      <selection activeCell="L27" sqref="L27"/>
    </sheetView>
  </sheetViews>
  <sheetFormatPr defaultColWidth="9" defaultRowHeight="14.25"/>
  <cols>
    <col min="1" max="1" width="29.625" customWidth="1"/>
    <col min="2" max="2" width="8" customWidth="1"/>
    <col min="3" max="3" width="7.375" customWidth="1"/>
    <col min="4" max="5" width="8" customWidth="1"/>
    <col min="6" max="6" width="37.75" customWidth="1"/>
    <col min="7" max="7" width="8.625" customWidth="1"/>
    <col min="8" max="10" width="8" customWidth="1"/>
  </cols>
  <sheetData>
    <row r="1" spans="1:10" ht="22.5">
      <c r="A1" s="250" t="s">
        <v>499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>
      <c r="A2" s="129" t="s">
        <v>430</v>
      </c>
      <c r="B2" s="130"/>
      <c r="C2" s="130"/>
      <c r="D2" s="130"/>
      <c r="E2" s="130"/>
      <c r="F2" s="254" t="s">
        <v>9</v>
      </c>
      <c r="G2" s="254"/>
      <c r="H2" s="254"/>
      <c r="I2" s="254"/>
      <c r="J2" s="254"/>
    </row>
    <row r="3" spans="1:10" ht="18.75">
      <c r="A3" s="251" t="s">
        <v>431</v>
      </c>
      <c r="B3" s="252"/>
      <c r="C3" s="252"/>
      <c r="D3" s="252"/>
      <c r="E3" s="253"/>
      <c r="F3" s="251" t="s">
        <v>432</v>
      </c>
      <c r="G3" s="252"/>
      <c r="H3" s="252"/>
      <c r="I3" s="252"/>
      <c r="J3" s="253"/>
    </row>
    <row r="4" spans="1:10">
      <c r="A4" s="131" t="s">
        <v>433</v>
      </c>
      <c r="B4" s="131" t="s">
        <v>298</v>
      </c>
      <c r="C4" s="131" t="s">
        <v>434</v>
      </c>
      <c r="D4" s="131" t="s">
        <v>435</v>
      </c>
      <c r="E4" s="131" t="s">
        <v>72</v>
      </c>
      <c r="F4" s="131" t="s">
        <v>433</v>
      </c>
      <c r="G4" s="131" t="s">
        <v>298</v>
      </c>
      <c r="H4" s="131" t="s">
        <v>434</v>
      </c>
      <c r="I4" s="131" t="s">
        <v>435</v>
      </c>
      <c r="J4" s="131" t="s">
        <v>72</v>
      </c>
    </row>
    <row r="5" spans="1:10" s="149" customFormat="1" ht="20.100000000000001" customHeight="1">
      <c r="A5" s="145" t="s">
        <v>478</v>
      </c>
      <c r="B5" s="146">
        <f>B6+B9+B10+B12+B13</f>
        <v>0</v>
      </c>
      <c r="C5" s="146">
        <f t="shared" ref="C5:D5" si="0">C6+C9+C10+C12+C13</f>
        <v>7484</v>
      </c>
      <c r="D5" s="146">
        <f t="shared" si="0"/>
        <v>29219</v>
      </c>
      <c r="E5" s="133">
        <f t="shared" ref="E5:E15" si="1">SUM(B5:D5)</f>
        <v>36703</v>
      </c>
      <c r="F5" s="147" t="s">
        <v>479</v>
      </c>
      <c r="G5" s="146">
        <f>G6+G9+G10+G11+G12</f>
        <v>79000</v>
      </c>
      <c r="H5" s="148"/>
      <c r="I5" s="148"/>
      <c r="J5" s="148">
        <f t="shared" ref="J5" si="2">SUM(G5:I5)</f>
        <v>79000</v>
      </c>
    </row>
    <row r="6" spans="1:10" s="149" customFormat="1" ht="20.100000000000001" customHeight="1">
      <c r="A6" s="150" t="s">
        <v>480</v>
      </c>
      <c r="B6" s="146">
        <f>B7+B8</f>
        <v>0</v>
      </c>
      <c r="C6" s="146">
        <f t="shared" ref="C6:D6" si="3">C7+C8</f>
        <v>7484</v>
      </c>
      <c r="D6" s="146">
        <f t="shared" si="3"/>
        <v>0</v>
      </c>
      <c r="E6" s="133">
        <f t="shared" si="1"/>
        <v>7484</v>
      </c>
      <c r="F6" s="146" t="s">
        <v>481</v>
      </c>
      <c r="G6" s="146"/>
      <c r="H6" s="148"/>
      <c r="I6" s="148"/>
      <c r="J6" s="148">
        <f t="shared" ref="J6:J16" si="4">SUM(G6:I6)</f>
        <v>0</v>
      </c>
    </row>
    <row r="7" spans="1:10" s="149" customFormat="1" ht="20.100000000000001" customHeight="1">
      <c r="A7" s="150" t="s">
        <v>482</v>
      </c>
      <c r="B7" s="146"/>
      <c r="C7" s="146">
        <v>7484</v>
      </c>
      <c r="D7" s="146"/>
      <c r="E7" s="133">
        <f t="shared" si="1"/>
        <v>7484</v>
      </c>
      <c r="F7" s="146" t="s">
        <v>483</v>
      </c>
      <c r="G7" s="146"/>
      <c r="H7" s="148"/>
      <c r="I7" s="148"/>
      <c r="J7" s="148">
        <f t="shared" si="4"/>
        <v>0</v>
      </c>
    </row>
    <row r="8" spans="1:10" s="149" customFormat="1" ht="20.100000000000001" customHeight="1">
      <c r="A8" s="150" t="s">
        <v>484</v>
      </c>
      <c r="B8" s="146"/>
      <c r="C8" s="146"/>
      <c r="D8" s="146"/>
      <c r="E8" s="133">
        <f t="shared" si="1"/>
        <v>0</v>
      </c>
      <c r="F8" s="146" t="s">
        <v>485</v>
      </c>
      <c r="G8" s="146"/>
      <c r="H8" s="148"/>
      <c r="I8" s="148"/>
      <c r="J8" s="148">
        <f t="shared" si="4"/>
        <v>0</v>
      </c>
    </row>
    <row r="9" spans="1:10" s="149" customFormat="1" ht="20.100000000000001" customHeight="1">
      <c r="A9" s="150" t="s">
        <v>486</v>
      </c>
      <c r="B9" s="146"/>
      <c r="C9" s="146"/>
      <c r="D9" s="146">
        <v>29219</v>
      </c>
      <c r="E9" s="133">
        <f t="shared" si="1"/>
        <v>29219</v>
      </c>
      <c r="F9" s="146" t="s">
        <v>487</v>
      </c>
      <c r="G9" s="146">
        <v>70000</v>
      </c>
      <c r="H9" s="148"/>
      <c r="I9" s="148"/>
      <c r="J9" s="148">
        <f t="shared" si="4"/>
        <v>70000</v>
      </c>
    </row>
    <row r="10" spans="1:10" s="149" customFormat="1" ht="20.100000000000001" customHeight="1">
      <c r="A10" s="150" t="s">
        <v>488</v>
      </c>
      <c r="B10" s="146"/>
      <c r="C10" s="146"/>
      <c r="D10" s="146"/>
      <c r="E10" s="133">
        <f t="shared" si="1"/>
        <v>0</v>
      </c>
      <c r="F10" s="146" t="s">
        <v>489</v>
      </c>
      <c r="G10" s="146"/>
      <c r="H10" s="148"/>
      <c r="I10" s="148"/>
      <c r="J10" s="148">
        <f t="shared" si="4"/>
        <v>0</v>
      </c>
    </row>
    <row r="11" spans="1:10" s="149" customFormat="1" ht="20.100000000000001" customHeight="1">
      <c r="A11" s="151" t="s">
        <v>490</v>
      </c>
      <c r="B11" s="146"/>
      <c r="C11" s="146"/>
      <c r="D11" s="146"/>
      <c r="E11" s="133">
        <f t="shared" si="1"/>
        <v>0</v>
      </c>
      <c r="F11" s="152" t="s">
        <v>491</v>
      </c>
      <c r="G11" s="146">
        <v>9000</v>
      </c>
      <c r="H11" s="148"/>
      <c r="I11" s="148"/>
      <c r="J11" s="148">
        <f t="shared" si="4"/>
        <v>9000</v>
      </c>
    </row>
    <row r="12" spans="1:10" s="149" customFormat="1" ht="20.100000000000001" customHeight="1">
      <c r="A12" s="153" t="s">
        <v>492</v>
      </c>
      <c r="B12" s="146"/>
      <c r="C12" s="146"/>
      <c r="D12" s="146"/>
      <c r="E12" s="133">
        <f t="shared" si="1"/>
        <v>0</v>
      </c>
      <c r="F12" s="152" t="s">
        <v>493</v>
      </c>
      <c r="G12" s="146"/>
      <c r="H12" s="148"/>
      <c r="I12" s="148"/>
      <c r="J12" s="148">
        <f t="shared" si="4"/>
        <v>0</v>
      </c>
    </row>
    <row r="13" spans="1:10" s="149" customFormat="1" ht="20.100000000000001" customHeight="1">
      <c r="A13" s="153" t="s">
        <v>494</v>
      </c>
      <c r="B13" s="146"/>
      <c r="C13" s="146"/>
      <c r="D13" s="146"/>
      <c r="E13" s="133">
        <f t="shared" si="1"/>
        <v>0</v>
      </c>
      <c r="F13" s="146">
        <f>[3]表九!B184</f>
        <v>0</v>
      </c>
      <c r="G13" s="146"/>
      <c r="H13" s="148"/>
      <c r="I13" s="148"/>
      <c r="J13" s="148">
        <f t="shared" si="4"/>
        <v>0</v>
      </c>
    </row>
    <row r="14" spans="1:10">
      <c r="A14" s="141"/>
      <c r="B14" s="133"/>
      <c r="C14" s="133"/>
      <c r="D14" s="133"/>
      <c r="E14" s="133">
        <f t="shared" si="1"/>
        <v>0</v>
      </c>
      <c r="F14" s="154"/>
      <c r="G14" s="142"/>
      <c r="H14" s="136"/>
      <c r="I14" s="136"/>
      <c r="J14" s="148">
        <f t="shared" si="4"/>
        <v>0</v>
      </c>
    </row>
    <row r="15" spans="1:10">
      <c r="A15" s="141"/>
      <c r="B15" s="133"/>
      <c r="C15" s="133"/>
      <c r="D15" s="133"/>
      <c r="E15" s="133">
        <f t="shared" si="1"/>
        <v>0</v>
      </c>
      <c r="F15" s="154"/>
      <c r="G15" s="142"/>
      <c r="H15" s="136"/>
      <c r="I15" s="136"/>
      <c r="J15" s="148">
        <f t="shared" si="4"/>
        <v>0</v>
      </c>
    </row>
    <row r="16" spans="1:10">
      <c r="A16" s="135" t="s">
        <v>495</v>
      </c>
      <c r="B16" s="142">
        <f>SUM(B5:B15)</f>
        <v>0</v>
      </c>
      <c r="C16" s="142">
        <f t="shared" ref="C16:E16" si="5">SUM(C5:C15)</f>
        <v>22452</v>
      </c>
      <c r="D16" s="142">
        <f t="shared" si="5"/>
        <v>58438</v>
      </c>
      <c r="E16" s="142">
        <f t="shared" si="5"/>
        <v>80890</v>
      </c>
      <c r="F16" s="135" t="s">
        <v>496</v>
      </c>
      <c r="G16" s="142">
        <f>SUM(G5:G15)</f>
        <v>158000</v>
      </c>
      <c r="H16" s="142">
        <f t="shared" ref="H16:I16" si="6">SUM(H5:H15)</f>
        <v>0</v>
      </c>
      <c r="I16" s="142">
        <f t="shared" si="6"/>
        <v>0</v>
      </c>
      <c r="J16" s="148">
        <f t="shared" si="4"/>
        <v>158000</v>
      </c>
    </row>
    <row r="17" spans="1:7">
      <c r="A17" s="130"/>
      <c r="B17" s="130"/>
      <c r="C17" s="130"/>
      <c r="D17" s="130"/>
      <c r="E17" s="130"/>
      <c r="F17" s="130"/>
      <c r="G17" s="130"/>
    </row>
    <row r="18" spans="1:7">
      <c r="A18" s="130"/>
      <c r="B18" s="130"/>
      <c r="C18" s="130"/>
      <c r="D18" s="130"/>
      <c r="E18" s="130"/>
      <c r="F18" s="130"/>
      <c r="G18" s="130"/>
    </row>
    <row r="19" spans="1:7">
      <c r="A19" s="130"/>
      <c r="B19" s="130"/>
      <c r="C19" s="130"/>
      <c r="D19" s="130"/>
      <c r="E19" s="130"/>
      <c r="F19" s="130"/>
      <c r="G19" s="130"/>
    </row>
    <row r="20" spans="1:7">
      <c r="A20" s="130"/>
      <c r="B20" s="130"/>
      <c r="C20" s="130"/>
      <c r="D20" s="130"/>
      <c r="E20" s="130"/>
      <c r="F20" s="130"/>
      <c r="G20" s="130"/>
    </row>
    <row r="21" spans="1:7">
      <c r="A21" s="130"/>
      <c r="B21" s="130"/>
      <c r="C21" s="130"/>
      <c r="D21" s="130"/>
      <c r="E21" s="130"/>
      <c r="F21" s="130"/>
      <c r="G21" s="130"/>
    </row>
    <row r="22" spans="1:7">
      <c r="A22" s="130"/>
      <c r="B22" s="130"/>
      <c r="C22" s="130"/>
      <c r="D22" s="130"/>
      <c r="E22" s="130"/>
      <c r="F22" s="130"/>
      <c r="G22" s="130"/>
    </row>
    <row r="23" spans="1:7">
      <c r="A23" s="130"/>
      <c r="B23" s="130"/>
      <c r="C23" s="130"/>
      <c r="D23" s="130"/>
      <c r="E23" s="130"/>
      <c r="F23" s="130"/>
      <c r="G23" s="130"/>
    </row>
  </sheetData>
  <mergeCells count="4">
    <mergeCell ref="A1:J1"/>
    <mergeCell ref="F2:J2"/>
    <mergeCell ref="A3:E3"/>
    <mergeCell ref="F3:J3"/>
  </mergeCells>
  <phoneticPr fontId="2" type="noConversion"/>
  <pageMargins left="0.31496062992126" right="0.31496062992126" top="0.74803149606299202" bottom="0.74803149606299202" header="0.31496062992126" footer="0.31496062992126"/>
  <pageSetup paperSize="9" orientation="landscape" useFirstPageNumber="1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M26" sqref="M26"/>
    </sheetView>
  </sheetViews>
  <sheetFormatPr defaultColWidth="9" defaultRowHeight="14.25"/>
  <cols>
    <col min="1" max="1" width="29.25" style="155" customWidth="1"/>
    <col min="2" max="2" width="35.75" style="155" customWidth="1"/>
    <col min="3" max="16384" width="9" style="155"/>
  </cols>
  <sheetData>
    <row r="1" spans="1:2" ht="22.5" customHeight="1">
      <c r="A1" s="249" t="s">
        <v>505</v>
      </c>
      <c r="B1" s="249"/>
    </row>
    <row r="2" spans="1:2" ht="22.5" customHeight="1">
      <c r="A2" s="156" t="s">
        <v>430</v>
      </c>
      <c r="B2" s="157" t="s">
        <v>502</v>
      </c>
    </row>
    <row r="3" spans="1:2" ht="22.5" customHeight="1">
      <c r="A3" s="158" t="s">
        <v>503</v>
      </c>
      <c r="B3" s="158" t="s">
        <v>504</v>
      </c>
    </row>
    <row r="4" spans="1:2" ht="22.5" customHeight="1">
      <c r="A4" s="158">
        <v>183421</v>
      </c>
      <c r="B4" s="158">
        <v>183421</v>
      </c>
    </row>
    <row r="6" spans="1:2">
      <c r="A6" s="161"/>
      <c r="B6" s="159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15" sqref="C15"/>
    </sheetView>
  </sheetViews>
  <sheetFormatPr defaultColWidth="9" defaultRowHeight="14.25"/>
  <cols>
    <col min="1" max="1" width="32" customWidth="1"/>
    <col min="2" max="2" width="13" customWidth="1"/>
    <col min="3" max="3" width="20.75" customWidth="1"/>
  </cols>
  <sheetData>
    <row r="1" spans="1:3" ht="33.75" customHeight="1">
      <c r="A1" s="255" t="s">
        <v>532</v>
      </c>
      <c r="B1" s="255"/>
      <c r="C1" s="255"/>
    </row>
    <row r="2" spans="1:3" ht="25.5" customHeight="1">
      <c r="A2" s="162" t="s">
        <v>520</v>
      </c>
      <c r="B2" s="163"/>
      <c r="C2" s="163" t="s">
        <v>531</v>
      </c>
    </row>
    <row r="3" spans="1:3" ht="25.5" customHeight="1">
      <c r="A3" s="256" t="s">
        <v>507</v>
      </c>
      <c r="B3" s="256"/>
      <c r="C3" s="256"/>
    </row>
    <row r="4" spans="1:3" ht="25.5" customHeight="1">
      <c r="A4" s="256" t="s">
        <v>508</v>
      </c>
      <c r="B4" s="256" t="s">
        <v>509</v>
      </c>
      <c r="C4" s="256" t="s">
        <v>510</v>
      </c>
    </row>
    <row r="5" spans="1:3" ht="25.5" customHeight="1">
      <c r="A5" s="256"/>
      <c r="B5" s="256"/>
      <c r="C5" s="256"/>
    </row>
    <row r="6" spans="1:3" ht="25.5" customHeight="1">
      <c r="A6" s="164" t="s">
        <v>511</v>
      </c>
      <c r="B6" s="165">
        <v>1</v>
      </c>
      <c r="C6" s="164"/>
    </row>
    <row r="7" spans="1:3" ht="25.5" customHeight="1">
      <c r="A7" s="164" t="s">
        <v>512</v>
      </c>
      <c r="B7" s="165">
        <v>2</v>
      </c>
      <c r="C7" s="166">
        <v>200</v>
      </c>
    </row>
    <row r="8" spans="1:3" ht="25.5" customHeight="1">
      <c r="A8" s="164" t="s">
        <v>513</v>
      </c>
      <c r="B8" s="165">
        <v>3</v>
      </c>
      <c r="C8" s="166"/>
    </row>
    <row r="9" spans="1:3" ht="25.5" customHeight="1">
      <c r="A9" s="164" t="s">
        <v>514</v>
      </c>
      <c r="B9" s="165">
        <v>4</v>
      </c>
      <c r="C9" s="166"/>
    </row>
    <row r="10" spans="1:3" ht="25.5" customHeight="1">
      <c r="A10" s="167" t="s">
        <v>515</v>
      </c>
      <c r="B10" s="165">
        <v>5</v>
      </c>
      <c r="C10" s="166"/>
    </row>
    <row r="11" spans="1:3" ht="25.5" customHeight="1">
      <c r="A11" s="167" t="s">
        <v>516</v>
      </c>
      <c r="B11" s="165">
        <v>6</v>
      </c>
      <c r="C11" s="166"/>
    </row>
    <row r="12" spans="1:3" ht="25.5" customHeight="1">
      <c r="A12" s="168"/>
      <c r="B12" s="165">
        <v>7</v>
      </c>
      <c r="C12" s="169"/>
    </row>
    <row r="13" spans="1:3" ht="25.5" customHeight="1">
      <c r="A13" s="165"/>
      <c r="B13" s="165">
        <v>8</v>
      </c>
      <c r="C13" s="166"/>
    </row>
    <row r="14" spans="1:3" ht="25.5" customHeight="1">
      <c r="A14" s="165" t="s">
        <v>517</v>
      </c>
      <c r="B14" s="165">
        <v>9</v>
      </c>
      <c r="C14" s="166">
        <f>SUM(C7:C13)</f>
        <v>200</v>
      </c>
    </row>
    <row r="15" spans="1:3" ht="25.5" customHeight="1">
      <c r="A15" s="167" t="s">
        <v>518</v>
      </c>
      <c r="B15" s="165">
        <v>10</v>
      </c>
      <c r="C15" s="166">
        <v>38</v>
      </c>
    </row>
    <row r="16" spans="1:3" ht="25.5" customHeight="1">
      <c r="A16" s="165" t="s">
        <v>519</v>
      </c>
      <c r="B16" s="165">
        <v>11</v>
      </c>
      <c r="C16" s="166">
        <f>C15+C14</f>
        <v>238</v>
      </c>
    </row>
  </sheetData>
  <mergeCells count="5">
    <mergeCell ref="A1:C1"/>
    <mergeCell ref="A3:C3"/>
    <mergeCell ref="A4:A5"/>
    <mergeCell ref="B4:B5"/>
    <mergeCell ref="C4:C5"/>
  </mergeCells>
  <phoneticPr fontId="2" type="noConversion"/>
  <printOptions horizontalCentered="1"/>
  <pageMargins left="0.70866141732283505" right="0.70866141732283505" top="0.74803149606299202" bottom="0.55118110236220497" header="0.31496062992126" footer="0.31496062992126"/>
  <pageSetup paperSize="9" firstPageNumber="160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F7" sqref="F7"/>
    </sheetView>
  </sheetViews>
  <sheetFormatPr defaultColWidth="9" defaultRowHeight="14.25"/>
  <cols>
    <col min="1" max="1" width="32.625" customWidth="1"/>
    <col min="3" max="3" width="15" customWidth="1"/>
  </cols>
  <sheetData>
    <row r="1" spans="1:3" ht="36" customHeight="1">
      <c r="A1" s="255" t="s">
        <v>533</v>
      </c>
      <c r="B1" s="255"/>
      <c r="C1" s="255"/>
    </row>
    <row r="2" spans="1:3" ht="25.5" customHeight="1">
      <c r="A2" s="170"/>
      <c r="B2" s="163"/>
      <c r="C2" s="171" t="s">
        <v>531</v>
      </c>
    </row>
    <row r="3" spans="1:3" ht="25.5" customHeight="1">
      <c r="A3" s="257" t="s">
        <v>521</v>
      </c>
      <c r="B3" s="258"/>
      <c r="C3" s="259"/>
    </row>
    <row r="4" spans="1:3" ht="25.5" customHeight="1">
      <c r="A4" s="260" t="s">
        <v>508</v>
      </c>
      <c r="B4" s="260" t="s">
        <v>509</v>
      </c>
      <c r="C4" s="260" t="s">
        <v>510</v>
      </c>
    </row>
    <row r="5" spans="1:3" ht="25.5" customHeight="1">
      <c r="A5" s="261"/>
      <c r="B5" s="261"/>
      <c r="C5" s="261"/>
    </row>
    <row r="6" spans="1:3" ht="25.5" customHeight="1">
      <c r="A6" s="172" t="s">
        <v>522</v>
      </c>
      <c r="B6" s="165">
        <v>12</v>
      </c>
      <c r="C6" s="164"/>
    </row>
    <row r="7" spans="1:3" ht="25.5" customHeight="1">
      <c r="A7" s="164" t="s">
        <v>523</v>
      </c>
      <c r="B7" s="165">
        <v>13</v>
      </c>
      <c r="C7" s="164"/>
    </row>
    <row r="8" spans="1:3" ht="25.5" customHeight="1">
      <c r="A8" s="164" t="s">
        <v>524</v>
      </c>
      <c r="B8" s="165">
        <v>14</v>
      </c>
      <c r="C8" s="164"/>
    </row>
    <row r="9" spans="1:3" ht="25.5" customHeight="1">
      <c r="A9" s="164" t="s">
        <v>525</v>
      </c>
      <c r="B9" s="165">
        <v>15</v>
      </c>
      <c r="C9" s="164"/>
    </row>
    <row r="10" spans="1:3" ht="25.5" customHeight="1">
      <c r="A10" s="164" t="s">
        <v>526</v>
      </c>
      <c r="B10" s="165">
        <v>16</v>
      </c>
      <c r="C10" s="164">
        <v>200</v>
      </c>
    </row>
    <row r="11" spans="1:3" ht="25.5" customHeight="1">
      <c r="A11" s="167" t="s">
        <v>527</v>
      </c>
      <c r="B11" s="165">
        <v>17</v>
      </c>
      <c r="C11" s="165"/>
    </row>
    <row r="12" spans="1:3" ht="25.5" customHeight="1">
      <c r="A12" s="164" t="s">
        <v>528</v>
      </c>
      <c r="B12" s="165">
        <v>18</v>
      </c>
      <c r="C12" s="164">
        <v>38</v>
      </c>
    </row>
    <row r="13" spans="1:3" ht="25.5" customHeight="1">
      <c r="A13" s="164"/>
      <c r="B13" s="165">
        <v>19</v>
      </c>
      <c r="C13" s="164"/>
    </row>
    <row r="14" spans="1:3" ht="25.5" customHeight="1">
      <c r="A14" s="165" t="s">
        <v>424</v>
      </c>
      <c r="B14" s="165">
        <v>20</v>
      </c>
      <c r="C14" s="164">
        <f>SUM(C6:C13)</f>
        <v>238</v>
      </c>
    </row>
    <row r="15" spans="1:3" ht="25.5" customHeight="1">
      <c r="A15" s="164" t="s">
        <v>529</v>
      </c>
      <c r="B15" s="165">
        <v>21</v>
      </c>
      <c r="C15" s="165"/>
    </row>
    <row r="16" spans="1:3" ht="25.5" customHeight="1">
      <c r="A16" s="165" t="s">
        <v>530</v>
      </c>
      <c r="B16" s="165">
        <v>22</v>
      </c>
      <c r="C16" s="164">
        <f>C14+C15</f>
        <v>238</v>
      </c>
    </row>
  </sheetData>
  <mergeCells count="5">
    <mergeCell ref="A3:C3"/>
    <mergeCell ref="A4:A5"/>
    <mergeCell ref="B4:B5"/>
    <mergeCell ref="C4:C5"/>
    <mergeCell ref="A1:C1"/>
  </mergeCells>
  <phoneticPr fontId="2" type="noConversion"/>
  <printOptions horizontalCentered="1"/>
  <pageMargins left="0.70866141732283505" right="0.70866141732283505" top="0.74803149606299202" bottom="0.55118110236220497" header="0.31496062992126" footer="0.31496062992126"/>
  <pageSetup paperSize="9" firstPageNumber="160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2" sqref="A2:C8"/>
    </sheetView>
  </sheetViews>
  <sheetFormatPr defaultColWidth="9" defaultRowHeight="14.25"/>
  <cols>
    <col min="1" max="1" width="32.625" customWidth="1"/>
    <col min="3" max="3" width="15" customWidth="1"/>
  </cols>
  <sheetData>
    <row r="1" spans="1:3" ht="36" customHeight="1">
      <c r="A1" s="255" t="s">
        <v>534</v>
      </c>
      <c r="B1" s="255"/>
      <c r="C1" s="255"/>
    </row>
    <row r="2" spans="1:3" ht="25.5" customHeight="1">
      <c r="A2" s="170"/>
      <c r="B2" s="163"/>
      <c r="C2" s="171" t="s">
        <v>531</v>
      </c>
    </row>
    <row r="3" spans="1:3" ht="25.5" customHeight="1">
      <c r="A3" s="257" t="s">
        <v>521</v>
      </c>
      <c r="B3" s="258"/>
      <c r="C3" s="259"/>
    </row>
    <row r="4" spans="1:3" ht="25.5" customHeight="1">
      <c r="A4" s="260" t="s">
        <v>508</v>
      </c>
      <c r="B4" s="260" t="s">
        <v>509</v>
      </c>
      <c r="C4" s="260" t="s">
        <v>510</v>
      </c>
    </row>
    <row r="5" spans="1:3" ht="25.5" customHeight="1">
      <c r="A5" s="261"/>
      <c r="B5" s="261"/>
      <c r="C5" s="261"/>
    </row>
    <row r="6" spans="1:3" ht="25.5" customHeight="1">
      <c r="A6" s="172" t="s">
        <v>522</v>
      </c>
      <c r="B6" s="165">
        <v>12</v>
      </c>
      <c r="C6" s="164"/>
    </row>
    <row r="7" spans="1:3" ht="25.5" customHeight="1">
      <c r="A7" s="164" t="s">
        <v>523</v>
      </c>
      <c r="B7" s="165">
        <v>13</v>
      </c>
      <c r="C7" s="164"/>
    </row>
    <row r="8" spans="1:3" ht="25.5" customHeight="1">
      <c r="A8" s="164" t="s">
        <v>524</v>
      </c>
      <c r="B8" s="165">
        <v>14</v>
      </c>
      <c r="C8" s="164"/>
    </row>
    <row r="9" spans="1:3" ht="25.5" customHeight="1">
      <c r="A9" s="164" t="s">
        <v>525</v>
      </c>
      <c r="B9" s="165">
        <v>15</v>
      </c>
      <c r="C9" s="164"/>
    </row>
    <row r="10" spans="1:3" ht="25.5" customHeight="1">
      <c r="A10" s="164" t="s">
        <v>526</v>
      </c>
      <c r="B10" s="165">
        <v>16</v>
      </c>
      <c r="C10" s="164">
        <v>200</v>
      </c>
    </row>
    <row r="11" spans="1:3" ht="25.5" customHeight="1">
      <c r="A11" s="167" t="s">
        <v>527</v>
      </c>
      <c r="B11" s="165">
        <v>17</v>
      </c>
      <c r="C11" s="165"/>
    </row>
    <row r="12" spans="1:3" ht="25.5" customHeight="1">
      <c r="A12" s="164" t="s">
        <v>528</v>
      </c>
      <c r="B12" s="165">
        <v>18</v>
      </c>
      <c r="C12" s="164">
        <v>38</v>
      </c>
    </row>
    <row r="13" spans="1:3" ht="25.5" customHeight="1">
      <c r="A13" s="164"/>
      <c r="B13" s="165">
        <v>19</v>
      </c>
      <c r="C13" s="164"/>
    </row>
    <row r="14" spans="1:3" ht="25.5" customHeight="1">
      <c r="A14" s="165" t="s">
        <v>424</v>
      </c>
      <c r="B14" s="165">
        <v>20</v>
      </c>
      <c r="C14" s="164">
        <f>SUM(C6:C13)</f>
        <v>238</v>
      </c>
    </row>
    <row r="15" spans="1:3" ht="25.5" customHeight="1">
      <c r="A15" s="164" t="s">
        <v>529</v>
      </c>
      <c r="B15" s="165">
        <v>21</v>
      </c>
      <c r="C15" s="165"/>
    </row>
    <row r="16" spans="1:3" ht="25.5" customHeight="1">
      <c r="A16" s="165" t="s">
        <v>530</v>
      </c>
      <c r="B16" s="165">
        <v>22</v>
      </c>
      <c r="C16" s="164">
        <f>C14+C15</f>
        <v>238</v>
      </c>
    </row>
  </sheetData>
  <mergeCells count="5">
    <mergeCell ref="A1:C1"/>
    <mergeCell ref="A3:C3"/>
    <mergeCell ref="A4:A5"/>
    <mergeCell ref="B4:B5"/>
    <mergeCell ref="C4:C5"/>
  </mergeCells>
  <phoneticPr fontId="2" type="noConversion"/>
  <printOptions horizontalCentered="1"/>
  <pageMargins left="0.70866141732283505" right="0.70866141732283505" top="0.74803149606299202" bottom="0.55118110236220497" header="0.31496062992126" footer="0.31496062992126"/>
  <pageSetup paperSize="9" firstPageNumber="160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A11" sqref="A11"/>
    </sheetView>
  </sheetViews>
  <sheetFormatPr defaultRowHeight="14.25"/>
  <cols>
    <col min="1" max="1" width="23.875" customWidth="1"/>
    <col min="2" max="2" width="41.875" customWidth="1"/>
  </cols>
  <sheetData>
    <row r="1" spans="1:2" ht="20.25">
      <c r="A1" s="173" t="s">
        <v>535</v>
      </c>
      <c r="B1" s="173"/>
    </row>
    <row r="2" spans="1:2" ht="18" customHeight="1">
      <c r="A2" s="170"/>
      <c r="B2" s="171" t="s">
        <v>531</v>
      </c>
    </row>
    <row r="3" spans="1:2" ht="18" customHeight="1">
      <c r="A3" s="257" t="s">
        <v>521</v>
      </c>
      <c r="B3" s="259"/>
    </row>
    <row r="4" spans="1:2" ht="18" customHeight="1">
      <c r="A4" s="201" t="s">
        <v>508</v>
      </c>
      <c r="B4" s="201" t="s">
        <v>510</v>
      </c>
    </row>
    <row r="5" spans="1:2" ht="18" customHeight="1">
      <c r="A5" s="164"/>
      <c r="B5" s="164"/>
    </row>
    <row r="6" spans="1:2" ht="18" customHeight="1">
      <c r="A6" s="165" t="s">
        <v>593</v>
      </c>
      <c r="B6" s="164"/>
    </row>
  </sheetData>
  <mergeCells count="1">
    <mergeCell ref="A3:B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"/>
  <sheetViews>
    <sheetView showZeros="0" workbookViewId="0">
      <selection activeCell="F28" sqref="F28"/>
    </sheetView>
  </sheetViews>
  <sheetFormatPr defaultColWidth="9" defaultRowHeight="14.25"/>
  <cols>
    <col min="1" max="1" width="44" style="174" customWidth="1"/>
    <col min="2" max="2" width="12.625" style="174" customWidth="1"/>
    <col min="3" max="3" width="10.125" style="174" customWidth="1"/>
    <col min="4" max="4" width="9.75" style="174" customWidth="1"/>
    <col min="5" max="5" width="10.625" style="174" customWidth="1"/>
    <col min="6" max="6" width="11.25" style="174" customWidth="1"/>
    <col min="7" max="7" width="10.25" style="174" customWidth="1"/>
    <col min="8" max="8" width="7.625" style="174" customWidth="1"/>
    <col min="9" max="9" width="10.25" style="174" customWidth="1"/>
    <col min="10" max="16384" width="9" style="174"/>
  </cols>
  <sheetData>
    <row r="1" spans="1:10" ht="25.5">
      <c r="A1" s="262" t="s">
        <v>559</v>
      </c>
      <c r="B1" s="262"/>
      <c r="C1" s="262"/>
      <c r="D1" s="263"/>
      <c r="E1" s="262"/>
      <c r="F1" s="262"/>
      <c r="G1" s="262"/>
      <c r="H1" s="262"/>
      <c r="I1" s="262"/>
    </row>
    <row r="2" spans="1:10" ht="27" customHeight="1">
      <c r="A2" s="175" t="s">
        <v>536</v>
      </c>
      <c r="B2" s="176"/>
      <c r="C2" s="177"/>
      <c r="D2" s="178"/>
      <c r="E2" s="176"/>
      <c r="F2" s="176"/>
      <c r="G2" s="176"/>
      <c r="H2" s="176"/>
      <c r="I2" s="179" t="s">
        <v>9</v>
      </c>
    </row>
    <row r="3" spans="1:10" ht="63" customHeight="1">
      <c r="A3" s="180" t="s">
        <v>537</v>
      </c>
      <c r="B3" s="181" t="s">
        <v>72</v>
      </c>
      <c r="C3" s="182" t="s">
        <v>538</v>
      </c>
      <c r="D3" s="182" t="s">
        <v>539</v>
      </c>
      <c r="E3" s="183" t="s">
        <v>540</v>
      </c>
      <c r="F3" s="184" t="s">
        <v>541</v>
      </c>
      <c r="G3" s="184" t="s">
        <v>542</v>
      </c>
      <c r="H3" s="184" t="s">
        <v>543</v>
      </c>
      <c r="I3" s="181" t="s">
        <v>544</v>
      </c>
    </row>
    <row r="4" spans="1:10" ht="21" customHeight="1">
      <c r="A4" s="185" t="s">
        <v>545</v>
      </c>
      <c r="B4" s="186">
        <f>C4+D4+E4+F4+G4+H4+I4</f>
        <v>62205</v>
      </c>
      <c r="C4" s="187">
        <v>0</v>
      </c>
      <c r="D4" s="187">
        <v>27103</v>
      </c>
      <c r="E4" s="186">
        <v>35102</v>
      </c>
      <c r="F4" s="186">
        <v>0</v>
      </c>
      <c r="G4" s="186">
        <v>0</v>
      </c>
      <c r="H4" s="186">
        <v>0</v>
      </c>
      <c r="I4" s="188"/>
      <c r="J4" s="189"/>
    </row>
    <row r="5" spans="1:10" ht="21" customHeight="1">
      <c r="A5" s="190" t="s">
        <v>546</v>
      </c>
      <c r="B5" s="186">
        <f>C5+D5+E5+F5+G5+H5+I5</f>
        <v>31687</v>
      </c>
      <c r="C5" s="186">
        <v>0</v>
      </c>
      <c r="D5" s="186">
        <v>9340</v>
      </c>
      <c r="E5" s="186">
        <v>22347</v>
      </c>
      <c r="F5" s="186">
        <v>0</v>
      </c>
      <c r="G5" s="186">
        <v>0</v>
      </c>
      <c r="H5" s="186">
        <v>0</v>
      </c>
      <c r="I5" s="188"/>
    </row>
    <row r="6" spans="1:10" ht="21" customHeight="1">
      <c r="A6" s="190" t="s">
        <v>547</v>
      </c>
      <c r="B6" s="186">
        <f>C6+D6+E6+F6+G6+H6+I6</f>
        <v>29663</v>
      </c>
      <c r="C6" s="186">
        <v>0</v>
      </c>
      <c r="D6" s="186">
        <v>17478</v>
      </c>
      <c r="E6" s="186">
        <v>12185</v>
      </c>
      <c r="F6" s="186">
        <v>0</v>
      </c>
      <c r="G6" s="186">
        <v>0</v>
      </c>
      <c r="H6" s="186">
        <v>0</v>
      </c>
      <c r="I6" s="188">
        <v>0</v>
      </c>
    </row>
    <row r="7" spans="1:10" ht="21" customHeight="1">
      <c r="A7" s="191" t="s">
        <v>548</v>
      </c>
      <c r="B7" s="186">
        <f>C7+D7+E7+F7+G7+H7+I7</f>
        <v>335</v>
      </c>
      <c r="C7" s="186">
        <v>0</v>
      </c>
      <c r="D7" s="186">
        <v>265</v>
      </c>
      <c r="E7" s="186">
        <v>70</v>
      </c>
      <c r="F7" s="186">
        <v>0</v>
      </c>
      <c r="G7" s="186">
        <v>0</v>
      </c>
      <c r="H7" s="186">
        <v>0</v>
      </c>
      <c r="I7" s="188"/>
    </row>
    <row r="8" spans="1:10" ht="21" customHeight="1">
      <c r="A8" s="191" t="s">
        <v>549</v>
      </c>
      <c r="B8" s="186">
        <f>C8+D8</f>
        <v>0</v>
      </c>
      <c r="C8" s="186">
        <v>0</v>
      </c>
      <c r="D8" s="186">
        <v>0</v>
      </c>
      <c r="E8" s="192">
        <v>0</v>
      </c>
      <c r="F8" s="186">
        <v>0</v>
      </c>
      <c r="G8" s="186">
        <v>0</v>
      </c>
      <c r="H8" s="186">
        <v>0</v>
      </c>
      <c r="I8" s="186">
        <v>0</v>
      </c>
    </row>
    <row r="9" spans="1:10" ht="21" customHeight="1">
      <c r="A9" s="191" t="s">
        <v>550</v>
      </c>
      <c r="B9" s="186">
        <f>C9+D9+E9+F9+I9</f>
        <v>518</v>
      </c>
      <c r="C9" s="186">
        <v>0</v>
      </c>
      <c r="D9" s="186">
        <v>18</v>
      </c>
      <c r="E9" s="186">
        <v>500</v>
      </c>
      <c r="F9" s="186">
        <v>0</v>
      </c>
      <c r="G9" s="186">
        <v>0</v>
      </c>
      <c r="H9" s="186">
        <v>0</v>
      </c>
      <c r="I9" s="186">
        <v>0</v>
      </c>
    </row>
    <row r="10" spans="1:10" ht="21" customHeight="1">
      <c r="A10" s="191" t="s">
        <v>551</v>
      </c>
      <c r="B10" s="186">
        <f>C10+D10+E10+F10+G10+H10+I10</f>
        <v>2</v>
      </c>
      <c r="C10" s="186">
        <v>0</v>
      </c>
      <c r="D10" s="186">
        <v>2</v>
      </c>
      <c r="E10" s="186">
        <v>0</v>
      </c>
      <c r="F10" s="186">
        <v>0</v>
      </c>
      <c r="G10" s="186">
        <v>0</v>
      </c>
      <c r="H10" s="186">
        <v>0</v>
      </c>
      <c r="I10" s="186"/>
    </row>
    <row r="11" spans="1:10" ht="21" customHeight="1">
      <c r="A11" s="191" t="s">
        <v>552</v>
      </c>
      <c r="B11" s="186">
        <f>C11</f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</row>
    <row r="12" spans="1:10" ht="21" customHeight="1">
      <c r="A12" s="191" t="s">
        <v>553</v>
      </c>
      <c r="B12" s="186">
        <f>C12</f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</row>
  </sheetData>
  <mergeCells count="1">
    <mergeCell ref="A1:I1"/>
  </mergeCells>
  <phoneticPr fontId="2" type="noConversion"/>
  <printOptions horizontalCentered="1"/>
  <pageMargins left="0.511811023622047" right="0.511811023622047" top="0.74803149606299202" bottom="0.35433070866141703" header="0.31496062992126" footer="0.31496062992126"/>
  <pageSetup paperSize="9" firstPageNumber="159" orientation="landscape" useFirstPageNumber="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"/>
  <sheetViews>
    <sheetView showZeros="0" workbookViewId="0">
      <selection activeCell="I24" sqref="I24"/>
    </sheetView>
  </sheetViews>
  <sheetFormatPr defaultColWidth="9" defaultRowHeight="14.25"/>
  <cols>
    <col min="1" max="1" width="44" style="174" customWidth="1"/>
    <col min="2" max="2" width="12.625" style="174" customWidth="1"/>
    <col min="3" max="3" width="10.125" style="174" customWidth="1"/>
    <col min="4" max="4" width="9.75" style="174" customWidth="1"/>
    <col min="5" max="5" width="10.625" style="174" customWidth="1"/>
    <col min="6" max="6" width="11.25" style="174" customWidth="1"/>
    <col min="7" max="7" width="10.25" style="174" customWidth="1"/>
    <col min="8" max="8" width="7.625" style="174" customWidth="1"/>
    <col min="9" max="9" width="10.25" style="174" customWidth="1"/>
    <col min="10" max="16384" width="9" style="174"/>
  </cols>
  <sheetData>
    <row r="1" spans="1:9" ht="25.5">
      <c r="A1" s="262" t="s">
        <v>563</v>
      </c>
      <c r="B1" s="262"/>
      <c r="C1" s="262"/>
      <c r="D1" s="263"/>
      <c r="E1" s="262"/>
      <c r="F1" s="262"/>
      <c r="G1" s="262"/>
      <c r="H1" s="262"/>
      <c r="I1" s="262"/>
    </row>
    <row r="2" spans="1:9" ht="27" customHeight="1">
      <c r="A2" s="175" t="s">
        <v>536</v>
      </c>
      <c r="B2" s="176"/>
      <c r="C2" s="177"/>
      <c r="D2" s="178"/>
      <c r="E2" s="176"/>
      <c r="F2" s="176"/>
      <c r="G2" s="176"/>
      <c r="H2" s="176"/>
      <c r="I2" s="179" t="s">
        <v>9</v>
      </c>
    </row>
    <row r="3" spans="1:9" ht="63" customHeight="1">
      <c r="A3" s="180" t="s">
        <v>537</v>
      </c>
      <c r="B3" s="181" t="s">
        <v>72</v>
      </c>
      <c r="C3" s="182" t="s">
        <v>538</v>
      </c>
      <c r="D3" s="182" t="s">
        <v>539</v>
      </c>
      <c r="E3" s="183" t="s">
        <v>540</v>
      </c>
      <c r="F3" s="184" t="s">
        <v>541</v>
      </c>
      <c r="G3" s="184" t="s">
        <v>542</v>
      </c>
      <c r="H3" s="184" t="s">
        <v>543</v>
      </c>
      <c r="I3" s="181" t="s">
        <v>544</v>
      </c>
    </row>
    <row r="4" spans="1:9" ht="21" customHeight="1">
      <c r="A4" s="190" t="s">
        <v>560</v>
      </c>
      <c r="B4" s="186">
        <f>C4+D4+E4+F4+G4+H4+I4</f>
        <v>55091</v>
      </c>
      <c r="C4" s="186">
        <v>0</v>
      </c>
      <c r="D4" s="186">
        <v>20062</v>
      </c>
      <c r="E4" s="186">
        <v>35029</v>
      </c>
      <c r="F4" s="186">
        <v>0</v>
      </c>
      <c r="G4" s="186">
        <v>0</v>
      </c>
      <c r="H4" s="186">
        <v>0</v>
      </c>
      <c r="I4" s="186"/>
    </row>
    <row r="5" spans="1:9" ht="21" customHeight="1">
      <c r="A5" s="190" t="s">
        <v>554</v>
      </c>
      <c r="B5" s="186">
        <f>C5+D5+E5+F5+G5+H5+I5</f>
        <v>54567</v>
      </c>
      <c r="C5" s="186">
        <v>0</v>
      </c>
      <c r="D5" s="186">
        <v>20038</v>
      </c>
      <c r="E5" s="186">
        <v>34529</v>
      </c>
      <c r="F5" s="186">
        <v>0</v>
      </c>
      <c r="G5" s="186">
        <v>0</v>
      </c>
      <c r="H5" s="186">
        <v>0</v>
      </c>
      <c r="I5" s="186"/>
    </row>
    <row r="6" spans="1:9" ht="21" customHeight="1">
      <c r="A6" s="190" t="s">
        <v>555</v>
      </c>
      <c r="B6" s="186">
        <f>C6+D6+E6+F6+I6</f>
        <v>524</v>
      </c>
      <c r="C6" s="186">
        <v>0</v>
      </c>
      <c r="D6" s="186">
        <v>24</v>
      </c>
      <c r="E6" s="186">
        <v>500</v>
      </c>
      <c r="F6" s="186">
        <v>0</v>
      </c>
      <c r="G6" s="186">
        <v>0</v>
      </c>
      <c r="H6" s="186">
        <v>0</v>
      </c>
      <c r="I6" s="186">
        <v>0</v>
      </c>
    </row>
    <row r="7" spans="1:9" ht="21" customHeight="1">
      <c r="A7" s="191" t="s">
        <v>556</v>
      </c>
      <c r="B7" s="186">
        <f>C7+D7+E7+F7+G7+H7+I7</f>
        <v>0</v>
      </c>
      <c r="C7" s="186">
        <v>0</v>
      </c>
      <c r="D7" s="186"/>
      <c r="E7" s="186"/>
      <c r="F7" s="186">
        <v>0</v>
      </c>
      <c r="G7" s="186">
        <v>0</v>
      </c>
      <c r="H7" s="186">
        <v>0</v>
      </c>
      <c r="I7" s="186"/>
    </row>
    <row r="8" spans="1:9" ht="21" customHeight="1">
      <c r="A8" s="191" t="s">
        <v>557</v>
      </c>
      <c r="B8" s="186">
        <f>C8</f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</row>
    <row r="9" spans="1:9" ht="21" customHeight="1">
      <c r="A9" s="191" t="s">
        <v>558</v>
      </c>
      <c r="B9" s="186">
        <f>C9</f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</row>
    <row r="10" spans="1:9" ht="21" customHeight="1">
      <c r="A10" s="185" t="s">
        <v>561</v>
      </c>
      <c r="B10" s="186">
        <f>C10+D10+E10+F10+G10+H10+I10</f>
        <v>7114</v>
      </c>
      <c r="C10" s="186">
        <v>0</v>
      </c>
      <c r="D10" s="186">
        <v>7041</v>
      </c>
      <c r="E10" s="186">
        <v>73</v>
      </c>
      <c r="F10" s="186">
        <v>0</v>
      </c>
      <c r="G10" s="186">
        <v>0</v>
      </c>
      <c r="H10" s="186">
        <v>0</v>
      </c>
      <c r="I10" s="188"/>
    </row>
    <row r="11" spans="1:9" ht="21" customHeight="1">
      <c r="A11" s="190" t="s">
        <v>562</v>
      </c>
      <c r="B11" s="186">
        <f>C11+D11+E11+F11+G11+H11+I11</f>
        <v>90794</v>
      </c>
      <c r="C11" s="186">
        <v>0</v>
      </c>
      <c r="D11" s="186">
        <v>81369</v>
      </c>
      <c r="E11" s="186">
        <v>9425</v>
      </c>
      <c r="F11" s="186">
        <v>0</v>
      </c>
      <c r="G11" s="186">
        <v>0</v>
      </c>
      <c r="H11" s="186">
        <v>0</v>
      </c>
      <c r="I11" s="188"/>
    </row>
  </sheetData>
  <mergeCells count="1">
    <mergeCell ref="A1:I1"/>
  </mergeCells>
  <phoneticPr fontId="2" type="noConversion"/>
  <printOptions horizontalCentered="1"/>
  <pageMargins left="0.511811023622047" right="0.511811023622047" top="0.74803149606299202" bottom="0.35433070866141703" header="0.31496062992126" footer="0.31496062992126"/>
  <pageSetup paperSize="9" firstPageNumber="159" orientation="landscape" useFirstPageNumber="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EW6"/>
  <sheetViews>
    <sheetView showZeros="0" workbookViewId="0">
      <pane ySplit="5" topLeftCell="A6" activePane="bottomLeft" state="frozen"/>
      <selection pane="bottomLeft" activeCell="M15" sqref="M15"/>
    </sheetView>
  </sheetViews>
  <sheetFormatPr defaultColWidth="9" defaultRowHeight="13.5"/>
  <cols>
    <col min="1" max="1" width="21.5" style="194" customWidth="1"/>
    <col min="2" max="6" width="10.625" style="194" customWidth="1"/>
    <col min="7" max="16377" width="9" style="194"/>
    <col min="16378" max="16384" width="9" style="199"/>
  </cols>
  <sheetData>
    <row r="1" spans="1:6" ht="15.75" customHeight="1">
      <c r="A1" s="193" t="s">
        <v>564</v>
      </c>
    </row>
    <row r="2" spans="1:6" ht="29.25" customHeight="1">
      <c r="A2" s="264" t="s">
        <v>572</v>
      </c>
      <c r="B2" s="264"/>
      <c r="C2" s="264"/>
      <c r="D2" s="264"/>
      <c r="E2" s="264"/>
      <c r="F2" s="264"/>
    </row>
    <row r="3" spans="1:6" ht="16.5" customHeight="1">
      <c r="A3" s="265"/>
      <c r="B3" s="265"/>
      <c r="F3" s="200" t="s">
        <v>574</v>
      </c>
    </row>
    <row r="4" spans="1:6" ht="20.100000000000001" customHeight="1">
      <c r="A4" s="266" t="s">
        <v>565</v>
      </c>
      <c r="B4" s="267" t="s">
        <v>573</v>
      </c>
      <c r="C4" s="267"/>
      <c r="D4" s="267"/>
      <c r="E4" s="267"/>
      <c r="F4" s="267"/>
    </row>
    <row r="5" spans="1:6" ht="39" customHeight="1">
      <c r="A5" s="266"/>
      <c r="B5" s="195" t="s">
        <v>566</v>
      </c>
      <c r="C5" s="195" t="s">
        <v>567</v>
      </c>
      <c r="D5" s="196" t="s">
        <v>568</v>
      </c>
      <c r="E5" s="196" t="s">
        <v>569</v>
      </c>
      <c r="F5" s="196" t="s">
        <v>570</v>
      </c>
    </row>
    <row r="6" spans="1:6" ht="35.1" customHeight="1">
      <c r="A6" s="197" t="s">
        <v>571</v>
      </c>
      <c r="B6" s="198">
        <f>SUM(C6:F6)</f>
        <v>1415</v>
      </c>
      <c r="C6" s="198">
        <v>0</v>
      </c>
      <c r="D6" s="198">
        <v>138</v>
      </c>
      <c r="E6" s="198">
        <v>1001</v>
      </c>
      <c r="F6" s="198">
        <v>276</v>
      </c>
    </row>
  </sheetData>
  <mergeCells count="4">
    <mergeCell ref="A2:F2"/>
    <mergeCell ref="A3:B3"/>
    <mergeCell ref="A4:A5"/>
    <mergeCell ref="B4:F4"/>
  </mergeCells>
  <phoneticPr fontId="2" type="noConversion"/>
  <printOptions horizontalCentered="1"/>
  <pageMargins left="0.196527777777778" right="0.196527777777778" top="0.39305555555555599" bottom="0.39305555555555599" header="0.196527777777778" footer="0.196527777777778"/>
  <pageSetup paperSize="9" scale="80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C24" sqref="C24"/>
    </sheetView>
  </sheetViews>
  <sheetFormatPr defaultColWidth="9" defaultRowHeight="14.25"/>
  <cols>
    <col min="1" max="1" width="19.375" customWidth="1"/>
    <col min="6" max="6" width="21.75" customWidth="1"/>
  </cols>
  <sheetData>
    <row r="1" spans="1:10" ht="27">
      <c r="A1" s="206" t="s">
        <v>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2.5" customHeight="1">
      <c r="A2" s="10" t="s">
        <v>8</v>
      </c>
      <c r="B2" s="10"/>
      <c r="C2" s="10"/>
      <c r="D2" s="207"/>
      <c r="E2" s="207"/>
      <c r="F2" s="207"/>
      <c r="G2" s="10"/>
      <c r="H2" s="10"/>
      <c r="I2" s="208" t="s">
        <v>9</v>
      </c>
      <c r="J2" s="208"/>
    </row>
    <row r="3" spans="1:10" ht="36" customHeight="1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15</v>
      </c>
    </row>
    <row r="4" spans="1:10" ht="21.75" customHeight="1">
      <c r="A4" s="12" t="s">
        <v>16</v>
      </c>
      <c r="B4" s="13">
        <f>SUM(B5:B14)</f>
        <v>56864</v>
      </c>
      <c r="C4" s="13">
        <f>SUM(C5:C14)</f>
        <v>61868</v>
      </c>
      <c r="D4" s="14">
        <f t="shared" ref="D4:D14" si="0">ROUND((C4-B4)/B4,4)</f>
        <v>8.7999999999999995E-2</v>
      </c>
      <c r="E4" s="15"/>
      <c r="F4" s="16" t="s">
        <v>17</v>
      </c>
      <c r="G4" s="13">
        <v>4644</v>
      </c>
      <c r="H4" s="13">
        <f>30+4951</f>
        <v>4981</v>
      </c>
      <c r="I4" s="14">
        <f t="shared" ref="I4:I10" si="1">ROUND((H4-G4)/G4,4)</f>
        <v>7.2599999999999998E-2</v>
      </c>
      <c r="J4" s="17"/>
    </row>
    <row r="5" spans="1:10" ht="21.75" customHeight="1">
      <c r="A5" s="18" t="s">
        <v>18</v>
      </c>
      <c r="B5" s="13">
        <v>25876</v>
      </c>
      <c r="C5" s="13">
        <v>28233</v>
      </c>
      <c r="D5" s="14">
        <f t="shared" si="0"/>
        <v>9.11E-2</v>
      </c>
      <c r="E5" s="15"/>
      <c r="F5" s="19" t="s">
        <v>19</v>
      </c>
      <c r="G5" s="20">
        <v>293</v>
      </c>
      <c r="H5" s="20">
        <v>369</v>
      </c>
      <c r="I5" s="14">
        <f t="shared" si="1"/>
        <v>0.25940000000000002</v>
      </c>
      <c r="J5" s="15"/>
    </row>
    <row r="6" spans="1:10" ht="21.75" customHeight="1">
      <c r="A6" s="18" t="s">
        <v>20</v>
      </c>
      <c r="B6" s="13">
        <v>3248</v>
      </c>
      <c r="C6" s="13">
        <v>3777</v>
      </c>
      <c r="D6" s="14">
        <f t="shared" si="0"/>
        <v>0.16289999999999999</v>
      </c>
      <c r="E6" s="15"/>
      <c r="F6" s="19" t="s">
        <v>21</v>
      </c>
      <c r="G6" s="20">
        <v>1270</v>
      </c>
      <c r="H6" s="20">
        <v>1360</v>
      </c>
      <c r="I6" s="14">
        <f t="shared" si="1"/>
        <v>7.0900000000000005E-2</v>
      </c>
      <c r="J6" s="15"/>
    </row>
    <row r="7" spans="1:10" ht="21.75" customHeight="1">
      <c r="A7" s="18" t="s">
        <v>22</v>
      </c>
      <c r="B7" s="13">
        <v>649</v>
      </c>
      <c r="C7" s="13">
        <v>1274</v>
      </c>
      <c r="D7" s="14">
        <f t="shared" si="0"/>
        <v>0.96299999999999997</v>
      </c>
      <c r="E7" s="15"/>
      <c r="F7" s="21" t="s">
        <v>23</v>
      </c>
      <c r="G7" s="20">
        <v>1907</v>
      </c>
      <c r="H7" s="20">
        <v>2042</v>
      </c>
      <c r="I7" s="14">
        <f t="shared" si="1"/>
        <v>7.0800000000000002E-2</v>
      </c>
      <c r="J7" s="15"/>
    </row>
    <row r="8" spans="1:10" ht="21.75" customHeight="1">
      <c r="A8" s="18" t="s">
        <v>24</v>
      </c>
      <c r="B8" s="13">
        <v>4020</v>
      </c>
      <c r="C8" s="13">
        <v>4082</v>
      </c>
      <c r="D8" s="14">
        <f t="shared" si="0"/>
        <v>1.54E-2</v>
      </c>
      <c r="E8" s="15"/>
      <c r="F8" s="18" t="s">
        <v>25</v>
      </c>
      <c r="G8" s="13">
        <v>93</v>
      </c>
      <c r="H8" s="13">
        <v>50</v>
      </c>
      <c r="I8" s="14">
        <f t="shared" si="1"/>
        <v>-0.46239999999999998</v>
      </c>
      <c r="J8" s="15"/>
    </row>
    <row r="9" spans="1:10" ht="21.75" customHeight="1">
      <c r="A9" s="18" t="s">
        <v>26</v>
      </c>
      <c r="B9" s="13">
        <v>1337</v>
      </c>
      <c r="C9" s="13">
        <v>1455</v>
      </c>
      <c r="D9" s="14">
        <f t="shared" si="0"/>
        <v>8.8300000000000003E-2</v>
      </c>
      <c r="E9" s="15"/>
      <c r="F9" s="16"/>
      <c r="G9" s="13"/>
      <c r="H9" s="13"/>
      <c r="I9" s="14"/>
      <c r="J9" s="17"/>
    </row>
    <row r="10" spans="1:10" ht="21.75" customHeight="1">
      <c r="A10" s="18" t="s">
        <v>27</v>
      </c>
      <c r="B10" s="13">
        <v>11288</v>
      </c>
      <c r="C10" s="13">
        <v>12281</v>
      </c>
      <c r="D10" s="14">
        <f t="shared" si="0"/>
        <v>8.7999999999999995E-2</v>
      </c>
      <c r="E10" s="15"/>
      <c r="F10" s="22" t="s">
        <v>28</v>
      </c>
      <c r="G10" s="13">
        <f>B4+B17</f>
        <v>88147</v>
      </c>
      <c r="H10" s="13">
        <f>C4+C17</f>
        <v>95928</v>
      </c>
      <c r="I10" s="14">
        <f t="shared" si="1"/>
        <v>8.8300000000000003E-2</v>
      </c>
      <c r="J10" s="17"/>
    </row>
    <row r="11" spans="1:10" ht="21.75" customHeight="1">
      <c r="A11" s="18" t="s">
        <v>29</v>
      </c>
      <c r="B11" s="13">
        <v>725</v>
      </c>
      <c r="C11" s="13">
        <v>788</v>
      </c>
      <c r="D11" s="14">
        <f t="shared" si="0"/>
        <v>8.6900000000000005E-2</v>
      </c>
      <c r="E11" s="15"/>
      <c r="F11" s="22"/>
      <c r="G11" s="13"/>
      <c r="H11" s="13"/>
      <c r="I11" s="14"/>
      <c r="J11" s="17"/>
    </row>
    <row r="12" spans="1:10" ht="21.75" customHeight="1">
      <c r="A12" s="18" t="s">
        <v>30</v>
      </c>
      <c r="B12" s="13">
        <v>1470</v>
      </c>
      <c r="C12" s="13">
        <v>895</v>
      </c>
      <c r="D12" s="14">
        <f t="shared" si="0"/>
        <v>-0.39119999999999999</v>
      </c>
      <c r="E12" s="15"/>
      <c r="F12" s="23" t="s">
        <v>31</v>
      </c>
      <c r="G12" s="13">
        <v>31060</v>
      </c>
      <c r="H12" s="13">
        <v>47054</v>
      </c>
      <c r="I12" s="14">
        <f t="shared" ref="I12:I17" si="2">ROUND((H12-G12)/G12,4)</f>
        <v>0.51490000000000002</v>
      </c>
      <c r="J12" s="15"/>
    </row>
    <row r="13" spans="1:10" ht="21.75" customHeight="1">
      <c r="A13" s="18" t="s">
        <v>32</v>
      </c>
      <c r="B13" s="13">
        <v>33</v>
      </c>
      <c r="C13" s="13">
        <v>36</v>
      </c>
      <c r="D13" s="14">
        <f t="shared" si="0"/>
        <v>9.0899999999999995E-2</v>
      </c>
      <c r="E13" s="15"/>
      <c r="F13" s="24" t="s">
        <v>33</v>
      </c>
      <c r="G13" s="13">
        <f>12031-23</f>
        <v>12008</v>
      </c>
      <c r="H13" s="13">
        <v>13773</v>
      </c>
      <c r="I13" s="14">
        <f t="shared" si="2"/>
        <v>0.14699999999999999</v>
      </c>
      <c r="J13" s="15"/>
    </row>
    <row r="14" spans="1:10" ht="21.75" customHeight="1">
      <c r="A14" s="18" t="s">
        <v>34</v>
      </c>
      <c r="B14" s="13">
        <v>8218</v>
      </c>
      <c r="C14" s="13">
        <v>9047</v>
      </c>
      <c r="D14" s="14">
        <f t="shared" si="0"/>
        <v>0.1009</v>
      </c>
      <c r="E14" s="15"/>
      <c r="F14" s="23" t="s">
        <v>35</v>
      </c>
      <c r="G14" s="13">
        <v>11</v>
      </c>
      <c r="H14" s="13">
        <v>12</v>
      </c>
      <c r="I14" s="14">
        <f t="shared" si="2"/>
        <v>9.0899999999999995E-2</v>
      </c>
      <c r="J14" s="15"/>
    </row>
    <row r="15" spans="1:10" ht="21.75" customHeight="1">
      <c r="A15" s="18"/>
      <c r="B15" s="25"/>
      <c r="C15" s="25"/>
      <c r="D15" s="26"/>
      <c r="E15" s="15"/>
      <c r="F15" s="23" t="s">
        <v>36</v>
      </c>
      <c r="G15" s="13">
        <v>14</v>
      </c>
      <c r="H15" s="13">
        <v>15</v>
      </c>
      <c r="I15" s="14">
        <f t="shared" si="2"/>
        <v>7.1400000000000005E-2</v>
      </c>
      <c r="J15" s="15"/>
    </row>
    <row r="16" spans="1:10" ht="21.75" customHeight="1">
      <c r="A16" s="18"/>
      <c r="B16" s="25"/>
      <c r="C16" s="27"/>
      <c r="D16" s="26"/>
      <c r="E16" s="15"/>
      <c r="F16" s="28" t="s">
        <v>37</v>
      </c>
      <c r="G16" s="13">
        <v>630</v>
      </c>
      <c r="H16" s="13">
        <v>384</v>
      </c>
      <c r="I16" s="14">
        <f t="shared" si="2"/>
        <v>-0.39050000000000001</v>
      </c>
      <c r="J16" s="15"/>
    </row>
    <row r="17" spans="1:10" ht="21.75" customHeight="1">
      <c r="A17" s="12" t="s">
        <v>38</v>
      </c>
      <c r="B17" s="13">
        <f>B18+B19+B20+B21+G4+G8</f>
        <v>31283</v>
      </c>
      <c r="C17" s="13">
        <f>C18+C19+C20+C21+H4+H8</f>
        <v>34060</v>
      </c>
      <c r="D17" s="26">
        <f t="shared" ref="D17:D21" si="3">ROUND((C17-B17)/B17,4)</f>
        <v>8.8800000000000004E-2</v>
      </c>
      <c r="E17" s="15"/>
      <c r="F17" s="23" t="s">
        <v>39</v>
      </c>
      <c r="G17" s="13">
        <v>242</v>
      </c>
      <c r="H17" s="13">
        <v>263</v>
      </c>
      <c r="I17" s="14">
        <f t="shared" si="2"/>
        <v>8.6800000000000002E-2</v>
      </c>
      <c r="J17" s="15"/>
    </row>
    <row r="18" spans="1:10" ht="21.75" customHeight="1">
      <c r="A18" s="18" t="s">
        <v>40</v>
      </c>
      <c r="B18" s="13">
        <v>6497</v>
      </c>
      <c r="C18" s="13">
        <f>17259+361+500</f>
        <v>18120</v>
      </c>
      <c r="D18" s="26">
        <f t="shared" si="3"/>
        <v>1.7889999999999999</v>
      </c>
      <c r="E18" s="15"/>
      <c r="F18" s="12"/>
      <c r="G18" s="13"/>
      <c r="H18" s="13"/>
      <c r="I18" s="14"/>
      <c r="J18" s="15"/>
    </row>
    <row r="19" spans="1:10" ht="21.75" customHeight="1">
      <c r="A19" s="18" t="s">
        <v>41</v>
      </c>
      <c r="B19" s="13">
        <v>2415</v>
      </c>
      <c r="C19" s="13">
        <f>2260+1050-500</f>
        <v>2810</v>
      </c>
      <c r="D19" s="26">
        <f t="shared" si="3"/>
        <v>0.1636</v>
      </c>
      <c r="E19" s="15"/>
      <c r="F19" s="29" t="s">
        <v>42</v>
      </c>
      <c r="G19" s="13">
        <f>G20+G21</f>
        <v>132112</v>
      </c>
      <c r="H19" s="13">
        <f>H20+H21</f>
        <v>157429</v>
      </c>
      <c r="I19" s="14">
        <f>ROUND((H19-G19)/G19,4)</f>
        <v>0.19159999999999999</v>
      </c>
      <c r="J19" s="15"/>
    </row>
    <row r="20" spans="1:10" ht="21.75" customHeight="1">
      <c r="A20" s="18" t="s">
        <v>43</v>
      </c>
      <c r="B20" s="13">
        <v>16520</v>
      </c>
      <c r="C20" s="13">
        <v>8000</v>
      </c>
      <c r="D20" s="26">
        <f t="shared" si="3"/>
        <v>-0.51570000000000005</v>
      </c>
      <c r="E20" s="15"/>
      <c r="F20" s="30" t="s">
        <v>44</v>
      </c>
      <c r="G20" s="13">
        <f>G17+G16+G15+G14+G13+G12+B4</f>
        <v>100829</v>
      </c>
      <c r="H20" s="13">
        <f>H17+H16+H15+H14+H13+H12+C4</f>
        <v>123369</v>
      </c>
      <c r="I20" s="14">
        <f>ROUND((H20-G20)/G20,4)</f>
        <v>0.2235</v>
      </c>
      <c r="J20" s="15"/>
    </row>
    <row r="21" spans="1:10" ht="21.75" customHeight="1">
      <c r="A21" s="18" t="s">
        <v>45</v>
      </c>
      <c r="B21" s="13">
        <v>1114</v>
      </c>
      <c r="C21" s="13">
        <v>99</v>
      </c>
      <c r="D21" s="26">
        <f t="shared" si="3"/>
        <v>-0.91110000000000002</v>
      </c>
      <c r="E21" s="15"/>
      <c r="F21" s="19" t="s">
        <v>46</v>
      </c>
      <c r="G21" s="13">
        <f>B17</f>
        <v>31283</v>
      </c>
      <c r="H21" s="13">
        <f>C17</f>
        <v>34060</v>
      </c>
      <c r="I21" s="14">
        <f>ROUND((H21-G21)/G21,4)</f>
        <v>8.8800000000000004E-2</v>
      </c>
      <c r="J21" s="15"/>
    </row>
    <row r="22" spans="1:10" ht="28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</row>
    <row r="24" spans="1:10">
      <c r="A24" s="31"/>
      <c r="B24" s="31"/>
      <c r="C24" s="31"/>
      <c r="D24" s="31"/>
      <c r="E24" s="31"/>
      <c r="F24" s="31"/>
      <c r="G24" s="31"/>
      <c r="H24" s="32"/>
      <c r="I24" s="31"/>
      <c r="J24" s="31"/>
    </row>
  </sheetData>
  <mergeCells count="4">
    <mergeCell ref="A1:J1"/>
    <mergeCell ref="D2:F2"/>
    <mergeCell ref="I2:J2"/>
    <mergeCell ref="A22:J22"/>
  </mergeCells>
  <phoneticPr fontId="2" type="noConversion"/>
  <printOptions horizontalCentered="1"/>
  <pageMargins left="0.74803149606299202" right="0.74803149606299202" top="0.59055118110236204" bottom="0.196850393700787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64"/>
  <sheetViews>
    <sheetView showZeros="0" workbookViewId="0">
      <pane xSplit="4" ySplit="6" topLeftCell="E94" activePane="bottomRight" state="frozen"/>
      <selection pane="topRight"/>
      <selection pane="bottomLeft"/>
      <selection pane="bottomRight" activeCell="Q111" sqref="Q111"/>
    </sheetView>
  </sheetViews>
  <sheetFormatPr defaultColWidth="9" defaultRowHeight="14.25"/>
  <cols>
    <col min="1" max="1" width="2.625" style="34" customWidth="1"/>
    <col min="2" max="2" width="3.25" style="34" customWidth="1"/>
    <col min="3" max="3" width="6.875" style="34" customWidth="1"/>
    <col min="4" max="4" width="12.625" style="85" customWidth="1"/>
    <col min="5" max="5" width="4.75" style="85" customWidth="1"/>
    <col min="6" max="6" width="7.25" style="81" customWidth="1"/>
    <col min="7" max="11" width="3.5" style="81" customWidth="1"/>
    <col min="12" max="14" width="3.625" style="81" customWidth="1"/>
    <col min="15" max="15" width="6.75" style="34" customWidth="1"/>
    <col min="16" max="16" width="13" style="34" customWidth="1"/>
    <col min="17" max="17" width="14.125" style="34" customWidth="1"/>
    <col min="18" max="18" width="7.25" style="34" hidden="1" customWidth="1"/>
    <col min="19" max="19" width="5.875" style="34" hidden="1" customWidth="1"/>
    <col min="20" max="20" width="7.25" style="34" hidden="1" customWidth="1"/>
    <col min="21" max="21" width="14.125" style="81" customWidth="1"/>
    <col min="22" max="22" width="5.75" style="34" customWidth="1"/>
    <col min="23" max="23" width="5.25" style="34" customWidth="1"/>
    <col min="24" max="26" width="4.5" style="34" customWidth="1"/>
    <col min="27" max="27" width="4.375" style="34" customWidth="1"/>
    <col min="28" max="28" width="5" style="34" customWidth="1"/>
    <col min="29" max="29" width="10.375" style="34" customWidth="1"/>
    <col min="30" max="30" width="4.875" style="34" customWidth="1"/>
    <col min="31" max="31" width="5.25" style="34" customWidth="1"/>
    <col min="32" max="32" width="5.625" style="34" customWidth="1"/>
    <col min="33" max="33" width="5.125" style="34" hidden="1" customWidth="1"/>
    <col min="34" max="34" width="6.75" style="34" hidden="1" customWidth="1"/>
    <col min="35" max="35" width="12.375" style="34" customWidth="1"/>
    <col min="36" max="36" width="5.25" style="34" customWidth="1"/>
    <col min="37" max="37" width="9.625" style="34" hidden="1" customWidth="1"/>
    <col min="38" max="39" width="5.25" style="34" customWidth="1"/>
    <col min="40" max="40" width="6.625" style="34" hidden="1" customWidth="1"/>
    <col min="41" max="41" width="6" style="34" hidden="1" customWidth="1"/>
    <col min="42" max="42" width="6.375" style="34" hidden="1" customWidth="1"/>
    <col min="43" max="44" width="6" style="34" hidden="1" customWidth="1"/>
    <col min="45" max="45" width="5.5" style="34" customWidth="1"/>
    <col min="46" max="46" width="6.5" style="34" hidden="1" customWidth="1"/>
    <col min="47" max="47" width="6" style="34" hidden="1" customWidth="1"/>
    <col min="48" max="48" width="7.25" style="34" hidden="1" customWidth="1"/>
    <col min="49" max="49" width="6" style="34" hidden="1" customWidth="1"/>
    <col min="50" max="50" width="5.75" style="34" customWidth="1"/>
    <col min="51" max="51" width="3.875" style="34" customWidth="1"/>
    <col min="52" max="52" width="4.375" style="81" customWidth="1"/>
    <col min="53" max="53" width="0.375" style="81" customWidth="1"/>
    <col min="54" max="54" width="11.75" style="85" customWidth="1"/>
    <col min="55" max="55" width="5.75" style="34" customWidth="1"/>
    <col min="56" max="56" width="13.25" style="34" customWidth="1"/>
    <col min="57" max="57" width="3.875" style="34" customWidth="1"/>
    <col min="58" max="58" width="7.5" style="34" hidden="1" customWidth="1"/>
    <col min="59" max="59" width="5.125" style="34" customWidth="1"/>
    <col min="60" max="60" width="4.625" style="34" customWidth="1"/>
    <col min="61" max="61" width="5.5" style="34" customWidth="1"/>
    <col min="62" max="62" width="4.875" style="34" customWidth="1"/>
    <col min="63" max="63" width="15.5" style="34" customWidth="1"/>
    <col min="64" max="64" width="11.125" style="34" customWidth="1"/>
    <col min="65" max="65" width="4.125" style="34" customWidth="1"/>
    <col min="66" max="66" width="4" style="34" customWidth="1"/>
    <col min="67" max="67" width="3.5" style="34" customWidth="1"/>
    <col min="68" max="68" width="4.75" style="34" customWidth="1"/>
    <col min="69" max="69" width="3.375" style="34" hidden="1" customWidth="1"/>
    <col min="70" max="70" width="4.375" style="34" customWidth="1"/>
    <col min="71" max="71" width="4.5" style="87" customWidth="1"/>
    <col min="72" max="72" width="3.625" style="34" customWidth="1"/>
    <col min="73" max="73" width="2.625" style="34" hidden="1" customWidth="1"/>
    <col min="74" max="74" width="3.5" style="34" customWidth="1"/>
    <col min="75" max="75" width="4.75" style="34" customWidth="1"/>
    <col min="76" max="76" width="5.25" style="34" customWidth="1"/>
    <col min="77" max="77" width="5.375" style="34" customWidth="1"/>
    <col min="78" max="78" width="4.75" style="34" customWidth="1"/>
    <col min="79" max="79" width="4.25" style="34" hidden="1" customWidth="1"/>
    <col min="80" max="80" width="19.375" style="34" customWidth="1"/>
    <col min="81" max="81" width="4.375" style="34" customWidth="1"/>
    <col min="82" max="82" width="4.5" style="86" customWidth="1"/>
    <col min="83" max="83" width="4.625" style="34" customWidth="1"/>
    <col min="84" max="84" width="7.125" style="34" customWidth="1"/>
    <col min="85" max="16384" width="9" style="34"/>
  </cols>
  <sheetData>
    <row r="1" spans="1:84" ht="29.1" customHeight="1">
      <c r="A1" s="215" t="s">
        <v>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33"/>
      <c r="BB1" s="215" t="s">
        <v>47</v>
      </c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6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</row>
    <row r="2" spans="1:84" ht="20.100000000000001" customHeight="1">
      <c r="A2" s="217" t="s">
        <v>48</v>
      </c>
      <c r="B2" s="217"/>
      <c r="C2" s="217"/>
      <c r="D2" s="217"/>
      <c r="E2" s="35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218" t="s">
        <v>9</v>
      </c>
      <c r="AT2" s="218"/>
      <c r="AU2" s="218"/>
      <c r="AV2" s="218"/>
      <c r="AW2" s="218"/>
      <c r="AX2" s="218"/>
      <c r="AY2" s="218"/>
      <c r="AZ2" s="218"/>
      <c r="BA2" s="39"/>
      <c r="BB2" s="40" t="s">
        <v>48</v>
      </c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41"/>
      <c r="BT2" s="38"/>
      <c r="BU2" s="38"/>
      <c r="BV2" s="38"/>
      <c r="BW2" s="42"/>
      <c r="BX2" s="219"/>
      <c r="BY2" s="219"/>
      <c r="BZ2" s="219"/>
      <c r="CA2" s="219"/>
      <c r="CB2" s="219"/>
      <c r="CC2" s="219" t="s">
        <v>49</v>
      </c>
      <c r="CD2" s="219"/>
      <c r="CE2" s="219"/>
      <c r="CF2" s="219"/>
    </row>
    <row r="3" spans="1:84" ht="15.75" customHeight="1">
      <c r="A3" s="220" t="s">
        <v>50</v>
      </c>
      <c r="B3" s="220" t="s">
        <v>51</v>
      </c>
      <c r="C3" s="43"/>
      <c r="D3" s="210" t="s">
        <v>52</v>
      </c>
      <c r="E3" s="44"/>
      <c r="F3" s="211" t="s">
        <v>53</v>
      </c>
      <c r="G3" s="45"/>
      <c r="H3" s="45"/>
      <c r="I3" s="45"/>
      <c r="J3" s="45"/>
      <c r="K3" s="45"/>
      <c r="L3" s="211" t="s">
        <v>54</v>
      </c>
      <c r="M3" s="211" t="s">
        <v>55</v>
      </c>
      <c r="N3" s="211" t="s">
        <v>56</v>
      </c>
      <c r="O3" s="210" t="s">
        <v>57</v>
      </c>
      <c r="P3" s="210" t="s">
        <v>58</v>
      </c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2"/>
      <c r="BT3" s="210"/>
      <c r="BU3" s="210"/>
      <c r="BV3" s="210"/>
      <c r="BW3" s="210"/>
      <c r="BX3" s="210" t="s">
        <v>59</v>
      </c>
      <c r="BY3" s="210" t="s">
        <v>60</v>
      </c>
      <c r="BZ3" s="210" t="s">
        <v>61</v>
      </c>
      <c r="CA3" s="210" t="s">
        <v>62</v>
      </c>
      <c r="CB3" s="210" t="s">
        <v>63</v>
      </c>
      <c r="CC3" s="210" t="s">
        <v>64</v>
      </c>
      <c r="CD3" s="221" t="s">
        <v>65</v>
      </c>
      <c r="CE3" s="210" t="s">
        <v>66</v>
      </c>
      <c r="CF3" s="210" t="s">
        <v>67</v>
      </c>
    </row>
    <row r="4" spans="1:84" ht="35.25" customHeight="1">
      <c r="A4" s="220"/>
      <c r="B4" s="220"/>
      <c r="C4" s="43"/>
      <c r="D4" s="210"/>
      <c r="E4" s="44"/>
      <c r="F4" s="211"/>
      <c r="G4" s="45"/>
      <c r="H4" s="45"/>
      <c r="I4" s="45"/>
      <c r="J4" s="45"/>
      <c r="K4" s="45"/>
      <c r="L4" s="211"/>
      <c r="M4" s="211"/>
      <c r="N4" s="211"/>
      <c r="O4" s="210"/>
      <c r="P4" s="210" t="s">
        <v>68</v>
      </c>
      <c r="Q4" s="211" t="s">
        <v>69</v>
      </c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45"/>
      <c r="BB4" s="210" t="s">
        <v>52</v>
      </c>
      <c r="BC4" s="211" t="s">
        <v>70</v>
      </c>
      <c r="BD4" s="211"/>
      <c r="BE4" s="211"/>
      <c r="BF4" s="211"/>
      <c r="BG4" s="211"/>
      <c r="BH4" s="45"/>
      <c r="BI4" s="210" t="s">
        <v>71</v>
      </c>
      <c r="BJ4" s="210"/>
      <c r="BK4" s="210"/>
      <c r="BL4" s="210"/>
      <c r="BM4" s="210"/>
      <c r="BN4" s="210"/>
      <c r="BO4" s="210"/>
      <c r="BP4" s="210"/>
      <c r="BQ4" s="210"/>
      <c r="BR4" s="210"/>
      <c r="BS4" s="212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21"/>
      <c r="CE4" s="210"/>
      <c r="CF4" s="210"/>
    </row>
    <row r="5" spans="1:84" ht="25.5" customHeight="1">
      <c r="A5" s="220"/>
      <c r="B5" s="220"/>
      <c r="C5" s="43"/>
      <c r="D5" s="210"/>
      <c r="E5" s="44"/>
      <c r="F5" s="211"/>
      <c r="G5" s="45"/>
      <c r="H5" s="45"/>
      <c r="I5" s="45"/>
      <c r="J5" s="45"/>
      <c r="K5" s="45"/>
      <c r="L5" s="211"/>
      <c r="M5" s="211"/>
      <c r="N5" s="211"/>
      <c r="O5" s="210"/>
      <c r="P5" s="210"/>
      <c r="Q5" s="210" t="s">
        <v>72</v>
      </c>
      <c r="R5" s="210" t="s">
        <v>73</v>
      </c>
      <c r="S5" s="210" t="s">
        <v>74</v>
      </c>
      <c r="T5" s="210" t="s">
        <v>75</v>
      </c>
      <c r="U5" s="210" t="s">
        <v>76</v>
      </c>
      <c r="V5" s="210" t="s">
        <v>77</v>
      </c>
      <c r="W5" s="210"/>
      <c r="X5" s="210"/>
      <c r="Y5" s="210"/>
      <c r="Z5" s="210"/>
      <c r="AA5" s="210"/>
      <c r="AB5" s="210" t="s">
        <v>78</v>
      </c>
      <c r="AC5" s="46"/>
      <c r="AD5" s="46"/>
      <c r="AE5" s="46"/>
      <c r="AF5" s="46"/>
      <c r="AG5" s="210" t="s">
        <v>79</v>
      </c>
      <c r="AH5" s="210" t="s">
        <v>80</v>
      </c>
      <c r="AI5" s="211" t="s">
        <v>81</v>
      </c>
      <c r="AJ5" s="211" t="s">
        <v>82</v>
      </c>
      <c r="AK5" s="45"/>
      <c r="AL5" s="211" t="s">
        <v>83</v>
      </c>
      <c r="AM5" s="211" t="s">
        <v>84</v>
      </c>
      <c r="AN5" s="45"/>
      <c r="AO5" s="45"/>
      <c r="AP5" s="45"/>
      <c r="AQ5" s="45"/>
      <c r="AR5" s="211" t="s">
        <v>85</v>
      </c>
      <c r="AS5" s="211" t="s">
        <v>86</v>
      </c>
      <c r="AT5" s="45"/>
      <c r="AU5" s="45"/>
      <c r="AV5" s="45"/>
      <c r="AW5" s="45"/>
      <c r="AX5" s="211" t="s">
        <v>87</v>
      </c>
      <c r="AY5" s="211" t="s">
        <v>88</v>
      </c>
      <c r="AZ5" s="211" t="s">
        <v>89</v>
      </c>
      <c r="BA5" s="45"/>
      <c r="BB5" s="210"/>
      <c r="BC5" s="211" t="s">
        <v>72</v>
      </c>
      <c r="BD5" s="211" t="s">
        <v>90</v>
      </c>
      <c r="BE5" s="211" t="s">
        <v>91</v>
      </c>
      <c r="BF5" s="211" t="s">
        <v>92</v>
      </c>
      <c r="BG5" s="211" t="s">
        <v>93</v>
      </c>
      <c r="BH5" s="213" t="s">
        <v>94</v>
      </c>
      <c r="BI5" s="211" t="s">
        <v>72</v>
      </c>
      <c r="BJ5" s="210" t="s">
        <v>95</v>
      </c>
      <c r="BK5" s="210"/>
      <c r="BL5" s="210"/>
      <c r="BM5" s="210"/>
      <c r="BN5" s="210" t="s">
        <v>96</v>
      </c>
      <c r="BO5" s="210" t="s">
        <v>97</v>
      </c>
      <c r="BP5" s="210" t="s">
        <v>98</v>
      </c>
      <c r="BQ5" s="210" t="s">
        <v>99</v>
      </c>
      <c r="BR5" s="210" t="s">
        <v>100</v>
      </c>
      <c r="BS5" s="212" t="s">
        <v>101</v>
      </c>
      <c r="BT5" s="210" t="s">
        <v>102</v>
      </c>
      <c r="BU5" s="210" t="s">
        <v>103</v>
      </c>
      <c r="BV5" s="210" t="s">
        <v>104</v>
      </c>
      <c r="BW5" s="210" t="s">
        <v>105</v>
      </c>
      <c r="BX5" s="210"/>
      <c r="BY5" s="210"/>
      <c r="BZ5" s="210"/>
      <c r="CA5" s="210"/>
      <c r="CB5" s="210"/>
      <c r="CC5" s="210"/>
      <c r="CD5" s="221"/>
      <c r="CE5" s="210"/>
      <c r="CF5" s="210"/>
    </row>
    <row r="6" spans="1:84" ht="85.5" customHeight="1">
      <c r="A6" s="220"/>
      <c r="B6" s="220"/>
      <c r="C6" s="43"/>
      <c r="D6" s="210"/>
      <c r="E6" s="44" t="s">
        <v>106</v>
      </c>
      <c r="F6" s="211"/>
      <c r="G6" s="45" t="s">
        <v>107</v>
      </c>
      <c r="H6" s="45" t="s">
        <v>108</v>
      </c>
      <c r="I6" s="45" t="s">
        <v>109</v>
      </c>
      <c r="J6" s="45" t="s">
        <v>110</v>
      </c>
      <c r="K6" s="45" t="s">
        <v>111</v>
      </c>
      <c r="L6" s="211"/>
      <c r="M6" s="211"/>
      <c r="N6" s="211"/>
      <c r="O6" s="210"/>
      <c r="P6" s="210"/>
      <c r="Q6" s="210"/>
      <c r="R6" s="210"/>
      <c r="S6" s="210"/>
      <c r="T6" s="210"/>
      <c r="U6" s="210"/>
      <c r="V6" s="44" t="s">
        <v>112</v>
      </c>
      <c r="W6" s="44" t="s">
        <v>113</v>
      </c>
      <c r="X6" s="44" t="s">
        <v>114</v>
      </c>
      <c r="Y6" s="44" t="s">
        <v>115</v>
      </c>
      <c r="Z6" s="44" t="s">
        <v>116</v>
      </c>
      <c r="AA6" s="44" t="s">
        <v>117</v>
      </c>
      <c r="AB6" s="210"/>
      <c r="AC6" s="46" t="s">
        <v>118</v>
      </c>
      <c r="AD6" s="46" t="s">
        <v>119</v>
      </c>
      <c r="AE6" s="46" t="s">
        <v>120</v>
      </c>
      <c r="AF6" s="46" t="s">
        <v>121</v>
      </c>
      <c r="AG6" s="210"/>
      <c r="AH6" s="210"/>
      <c r="AI6" s="211"/>
      <c r="AJ6" s="211"/>
      <c r="AK6" s="45"/>
      <c r="AL6" s="211"/>
      <c r="AM6" s="211"/>
      <c r="AN6" s="45" t="s">
        <v>122</v>
      </c>
      <c r="AO6" s="45"/>
      <c r="AP6" s="45" t="s">
        <v>123</v>
      </c>
      <c r="AQ6" s="45"/>
      <c r="AR6" s="211"/>
      <c r="AS6" s="211"/>
      <c r="AT6" s="45" t="s">
        <v>124</v>
      </c>
      <c r="AU6" s="45"/>
      <c r="AV6" s="45" t="s">
        <v>125</v>
      </c>
      <c r="AW6" s="45"/>
      <c r="AX6" s="211"/>
      <c r="AY6" s="211"/>
      <c r="AZ6" s="211"/>
      <c r="BA6" s="45"/>
      <c r="BB6" s="210"/>
      <c r="BC6" s="211"/>
      <c r="BD6" s="211"/>
      <c r="BE6" s="211"/>
      <c r="BF6" s="211"/>
      <c r="BG6" s="211"/>
      <c r="BH6" s="214"/>
      <c r="BI6" s="211"/>
      <c r="BJ6" s="44" t="s">
        <v>112</v>
      </c>
      <c r="BK6" s="44" t="s">
        <v>126</v>
      </c>
      <c r="BL6" s="44" t="s">
        <v>127</v>
      </c>
      <c r="BM6" s="44" t="s">
        <v>128</v>
      </c>
      <c r="BN6" s="210"/>
      <c r="BO6" s="210"/>
      <c r="BP6" s="210"/>
      <c r="BQ6" s="210"/>
      <c r="BR6" s="210"/>
      <c r="BS6" s="212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21"/>
      <c r="CE6" s="210"/>
      <c r="CF6" s="210"/>
    </row>
    <row r="7" spans="1:84" ht="16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43">
        <v>38</v>
      </c>
      <c r="AM7" s="43">
        <v>39</v>
      </c>
      <c r="AN7" s="43">
        <v>40</v>
      </c>
      <c r="AO7" s="43">
        <v>41</v>
      </c>
      <c r="AP7" s="43">
        <v>42</v>
      </c>
      <c r="AQ7" s="43">
        <v>43</v>
      </c>
      <c r="AR7" s="43">
        <v>44</v>
      </c>
      <c r="AS7" s="43">
        <v>45</v>
      </c>
      <c r="AT7" s="43">
        <v>46</v>
      </c>
      <c r="AU7" s="43">
        <v>47</v>
      </c>
      <c r="AV7" s="43">
        <v>48</v>
      </c>
      <c r="AW7" s="43">
        <v>49</v>
      </c>
      <c r="AX7" s="43">
        <v>50</v>
      </c>
      <c r="AY7" s="43">
        <v>51</v>
      </c>
      <c r="AZ7" s="43">
        <v>52</v>
      </c>
      <c r="BA7" s="43">
        <v>53</v>
      </c>
      <c r="BB7" s="43">
        <v>54</v>
      </c>
      <c r="BC7" s="43">
        <v>55</v>
      </c>
      <c r="BD7" s="43">
        <v>56</v>
      </c>
      <c r="BE7" s="43">
        <v>57</v>
      </c>
      <c r="BF7" s="43">
        <v>58</v>
      </c>
      <c r="BG7" s="43">
        <v>59</v>
      </c>
      <c r="BH7" s="43">
        <v>60</v>
      </c>
      <c r="BI7" s="43">
        <v>61</v>
      </c>
      <c r="BJ7" s="43">
        <v>62</v>
      </c>
      <c r="BK7" s="43">
        <v>63</v>
      </c>
      <c r="BL7" s="43">
        <v>64</v>
      </c>
      <c r="BM7" s="43">
        <v>65</v>
      </c>
      <c r="BN7" s="43">
        <v>66</v>
      </c>
      <c r="BO7" s="43">
        <v>67</v>
      </c>
      <c r="BP7" s="43">
        <v>68</v>
      </c>
      <c r="BQ7" s="43">
        <v>69</v>
      </c>
      <c r="BR7" s="43">
        <v>70</v>
      </c>
      <c r="BS7" s="43">
        <v>71</v>
      </c>
      <c r="BT7" s="43">
        <v>72</v>
      </c>
      <c r="BU7" s="43">
        <v>73</v>
      </c>
      <c r="BV7" s="43">
        <v>74</v>
      </c>
      <c r="BW7" s="43">
        <v>75</v>
      </c>
      <c r="BX7" s="43">
        <v>76</v>
      </c>
      <c r="BY7" s="43">
        <v>77</v>
      </c>
      <c r="BZ7" s="43">
        <v>78</v>
      </c>
      <c r="CA7" s="43">
        <v>79</v>
      </c>
      <c r="CB7" s="43">
        <v>80</v>
      </c>
      <c r="CC7" s="43">
        <v>81</v>
      </c>
      <c r="CD7" s="43">
        <v>82</v>
      </c>
      <c r="CE7" s="43">
        <v>83</v>
      </c>
      <c r="CF7" s="43">
        <v>84</v>
      </c>
    </row>
    <row r="8" spans="1:84" ht="14.25" customHeight="1">
      <c r="A8" s="47">
        <v>1</v>
      </c>
      <c r="B8" s="47" t="s">
        <v>129</v>
      </c>
      <c r="C8" s="48">
        <v>101001</v>
      </c>
      <c r="D8" s="49" t="s">
        <v>130</v>
      </c>
      <c r="E8" s="49" t="s">
        <v>131</v>
      </c>
      <c r="F8" s="50">
        <f>SUM(G8:K8)</f>
        <v>43</v>
      </c>
      <c r="G8" s="50">
        <v>35</v>
      </c>
      <c r="H8" s="50">
        <v>8</v>
      </c>
      <c r="I8" s="50"/>
      <c r="J8" s="50"/>
      <c r="K8" s="50"/>
      <c r="L8" s="50"/>
      <c r="M8" s="50"/>
      <c r="N8" s="50">
        <v>26</v>
      </c>
      <c r="O8" s="50">
        <f>F8+L8+M8+N8</f>
        <v>69</v>
      </c>
      <c r="P8" s="51">
        <f t="shared" ref="P8:P71" si="0">Q8+BC8+BI8</f>
        <v>956.64509999999996</v>
      </c>
      <c r="Q8" s="51">
        <f t="shared" ref="Q8:Q71" si="1">U8+V8+AB8+AH8+AI8+AJ8+AL8+AM8+AR8+AS8+AX8+AY8+AZ8</f>
        <v>514.89710000000002</v>
      </c>
      <c r="R8" s="47">
        <f>S8+T8</f>
        <v>159756</v>
      </c>
      <c r="S8" s="52">
        <v>159756</v>
      </c>
      <c r="T8" s="47"/>
      <c r="U8" s="47">
        <f>ROUND(R8*12/10000,5)</f>
        <v>191.7072</v>
      </c>
      <c r="V8" s="51">
        <f t="shared" ref="V8:V158" si="2">SUM(W8:AA8)</f>
        <v>96.75</v>
      </c>
      <c r="W8" s="47">
        <f>ROUND((G8+H8)*2.25,4)</f>
        <v>96.75</v>
      </c>
      <c r="X8" s="47"/>
      <c r="Y8" s="47"/>
      <c r="Z8" s="47"/>
      <c r="AA8" s="47"/>
      <c r="AB8" s="51">
        <f>SUM(AC8:AF8)</f>
        <v>91.74</v>
      </c>
      <c r="AC8" s="47">
        <f>ROUND(S8/10000,4)</f>
        <v>15.9756</v>
      </c>
      <c r="AD8" s="47"/>
      <c r="AE8" s="47"/>
      <c r="AF8" s="47">
        <f>ROUND(AG8*12/10000,4)</f>
        <v>75.764399999999995</v>
      </c>
      <c r="AG8" s="47">
        <v>63137</v>
      </c>
      <c r="AH8" s="47"/>
      <c r="AI8" s="47">
        <f>ROUND(2.59*(I8+J8+K8),4)</f>
        <v>0</v>
      </c>
      <c r="AJ8" s="53">
        <f>ROUND((U8+W8+AC8+AE8+AF8+AI8)*0.16,4)</f>
        <v>60.831600000000002</v>
      </c>
      <c r="AK8" s="53">
        <f>AJ8*10000</f>
        <v>608316</v>
      </c>
      <c r="AL8" s="47"/>
      <c r="AM8" s="47">
        <f t="shared" ref="AM8:AM71" si="3">ROUND(((U8+W8+AI8)*0.085+N8*0.0075),4)</f>
        <v>24.713899999999999</v>
      </c>
      <c r="AN8" s="47">
        <f t="shared" ref="AN8:AN71" si="4">ROUND(((U8+W8+AI8)*0.08+N8*0.0075),4)</f>
        <v>23.271599999999999</v>
      </c>
      <c r="AO8" s="47">
        <f>AN8*10000</f>
        <v>232716</v>
      </c>
      <c r="AP8" s="47">
        <f t="shared" ref="AP8:AP71" si="5">ROUND(((U8+W8+AI8)*0.005),4)</f>
        <v>1.4422999999999999</v>
      </c>
      <c r="AQ8" s="47">
        <f>AP8*10000</f>
        <v>14423</v>
      </c>
      <c r="AR8" s="47"/>
      <c r="AS8" s="47">
        <f>ROUND(((T8*12/10000+AI8)*0.007+(U8+W8+AI8)*0.006),4)</f>
        <v>1.7306999999999999</v>
      </c>
      <c r="AT8" s="47">
        <f t="shared" ref="AT8:AT71" si="6">ROUND(((U8+W8+AI8)*0.006),4)</f>
        <v>1.7306999999999999</v>
      </c>
      <c r="AU8" s="47">
        <f>AT8*10000</f>
        <v>17307</v>
      </c>
      <c r="AV8" s="47">
        <f t="shared" ref="AV8:AV71" si="7">ROUND(((T8*12/10000+AI8)*0.007),4)</f>
        <v>0</v>
      </c>
      <c r="AW8" s="47">
        <f>AV8*10000</f>
        <v>0</v>
      </c>
      <c r="AX8" s="47">
        <f t="shared" ref="AX8:AX71" si="8">ROUND((U8+W8+AC8+AE8+AF8+AI8)*0.12,4)</f>
        <v>45.623699999999999</v>
      </c>
      <c r="AY8" s="47"/>
      <c r="AZ8" s="47">
        <v>1.8</v>
      </c>
      <c r="BA8" s="54">
        <v>1E-4</v>
      </c>
      <c r="BB8" s="55" t="s">
        <v>130</v>
      </c>
      <c r="BC8" s="51">
        <f>BD8+BE8+BG8+BH8</f>
        <v>439.92399999999998</v>
      </c>
      <c r="BD8" s="47">
        <f t="shared" ref="BD8:BD29" si="9">1.2*(G8+H8)+0.96*(I8+J8)</f>
        <v>51.6</v>
      </c>
      <c r="BE8" s="47">
        <f>ROUND(BF8*12/10000,4)</f>
        <v>33.323999999999998</v>
      </c>
      <c r="BF8" s="47">
        <v>27770</v>
      </c>
      <c r="BG8" s="56">
        <v>355</v>
      </c>
      <c r="BH8" s="47"/>
      <c r="BI8" s="51">
        <f t="shared" ref="BI8:BI71" si="10">BJ8+BN8+BO8+BP8+BQ8+BS8+BT8+BU8+BV8+BW8+BR8</f>
        <v>1.8240000000000001</v>
      </c>
      <c r="BJ8" s="51">
        <f t="shared" ref="BJ8:BJ71" si="11">BL8+BM8+BK8</f>
        <v>0</v>
      </c>
      <c r="BK8" s="47"/>
      <c r="BL8" s="47"/>
      <c r="BM8" s="47"/>
      <c r="BN8" s="47"/>
      <c r="BO8" s="47"/>
      <c r="BP8" s="47">
        <v>1.8240000000000001</v>
      </c>
      <c r="BQ8" s="47"/>
      <c r="BR8" s="47"/>
      <c r="BS8" s="53"/>
      <c r="BT8" s="47"/>
      <c r="BU8" s="47"/>
      <c r="BV8" s="47"/>
      <c r="BW8" s="47"/>
      <c r="BX8" s="47">
        <v>18</v>
      </c>
      <c r="BY8" s="47"/>
      <c r="BZ8" s="47"/>
      <c r="CA8" s="47"/>
      <c r="CB8" s="54">
        <f t="shared" ref="CB8:CB71" si="12">P8+BX8+BZ8+BY8+CA8</f>
        <v>974.64509999999996</v>
      </c>
      <c r="CC8" s="47"/>
      <c r="CD8" s="57"/>
      <c r="CE8" s="47"/>
      <c r="CF8" s="47">
        <f t="shared" ref="CF8:CF71" si="13">SUM(CB8:CE8)</f>
        <v>974.64509999999996</v>
      </c>
    </row>
    <row r="9" spans="1:84" ht="14.25" customHeight="1">
      <c r="A9" s="47">
        <v>2</v>
      </c>
      <c r="B9" s="47" t="s">
        <v>129</v>
      </c>
      <c r="C9" s="48">
        <v>103001</v>
      </c>
      <c r="D9" s="49" t="s">
        <v>132</v>
      </c>
      <c r="E9" s="49" t="s">
        <v>131</v>
      </c>
      <c r="F9" s="50">
        <f t="shared" ref="F9:F72" si="14">SUM(G9:K9)</f>
        <v>54</v>
      </c>
      <c r="G9" s="50">
        <v>45</v>
      </c>
      <c r="H9" s="50">
        <v>6</v>
      </c>
      <c r="I9" s="50">
        <v>3</v>
      </c>
      <c r="J9" s="50"/>
      <c r="K9" s="50"/>
      <c r="L9" s="50"/>
      <c r="M9" s="50">
        <v>1</v>
      </c>
      <c r="N9" s="50">
        <v>36</v>
      </c>
      <c r="O9" s="50">
        <f t="shared" ref="O9:O72" si="15">F9+L9+M9+N9</f>
        <v>91</v>
      </c>
      <c r="P9" s="51">
        <f t="shared" si="0"/>
        <v>1092.7037</v>
      </c>
      <c r="Q9" s="51">
        <f t="shared" si="1"/>
        <v>723.21270000000004</v>
      </c>
      <c r="R9" s="47">
        <f t="shared" ref="R9:R72" si="16">S9+T9</f>
        <v>238281</v>
      </c>
      <c r="S9" s="58">
        <v>231792</v>
      </c>
      <c r="T9" s="51">
        <v>6489</v>
      </c>
      <c r="U9" s="47">
        <f t="shared" ref="U9:U72" si="17">ROUND(R9*12/10000,5)</f>
        <v>285.93720000000002</v>
      </c>
      <c r="V9" s="51">
        <f t="shared" si="2"/>
        <v>114.75</v>
      </c>
      <c r="W9" s="47">
        <f t="shared" ref="W9:W72" si="18">ROUND((G9+H9)*2.25,4)</f>
        <v>114.75</v>
      </c>
      <c r="X9" s="47"/>
      <c r="Y9" s="47"/>
      <c r="Z9" s="47"/>
      <c r="AA9" s="47"/>
      <c r="AB9" s="51">
        <f t="shared" ref="AB9:AB72" si="19">SUM(AC9:AF9)</f>
        <v>127.21799999999999</v>
      </c>
      <c r="AC9" s="47">
        <f t="shared" ref="AC9:AC72" si="20">ROUND(S9/10000,4)</f>
        <v>23.179200000000002</v>
      </c>
      <c r="AD9" s="47"/>
      <c r="AE9" s="47"/>
      <c r="AF9" s="47">
        <f t="shared" ref="AF9:AF72" si="21">ROUND(AG9*12/10000,4)</f>
        <v>104.03879999999999</v>
      </c>
      <c r="AG9" s="47">
        <v>86699</v>
      </c>
      <c r="AH9" s="47"/>
      <c r="AI9" s="47">
        <f t="shared" ref="AI9:AI72" si="22">ROUND(2.59*(I9+J9+K9),4)</f>
        <v>7.77</v>
      </c>
      <c r="AJ9" s="53">
        <f t="shared" ref="AJ9:AJ72" si="23">ROUND((U9+W9+AC9+AE9+AF9+AI9)*0.16,4)</f>
        <v>85.707999999999998</v>
      </c>
      <c r="AK9" s="53">
        <f t="shared" ref="AK9:AK72" si="24">AJ9*10000</f>
        <v>857080</v>
      </c>
      <c r="AL9" s="47"/>
      <c r="AM9" s="47">
        <f t="shared" si="3"/>
        <v>34.988900000000001</v>
      </c>
      <c r="AN9" s="47">
        <f t="shared" si="4"/>
        <v>32.946599999999997</v>
      </c>
      <c r="AO9" s="47">
        <f t="shared" ref="AO9:AO72" si="25">AN9*10000</f>
        <v>329465.99999999994</v>
      </c>
      <c r="AP9" s="47">
        <f t="shared" si="5"/>
        <v>2.0423</v>
      </c>
      <c r="AQ9" s="47">
        <f t="shared" ref="AQ9:AQ72" si="26">AP9*10000</f>
        <v>20423</v>
      </c>
      <c r="AR9" s="47"/>
      <c r="AS9" s="47">
        <f t="shared" ref="AS9:AS72" si="27">ROUND(((T9*12/10000+AI9)*0.007+(U9+W9+AI9)*0.006),4)</f>
        <v>2.5596000000000001</v>
      </c>
      <c r="AT9" s="47">
        <f t="shared" si="6"/>
        <v>2.4506999999999999</v>
      </c>
      <c r="AU9" s="47">
        <f t="shared" ref="AU9:AU72" si="28">AT9*10000</f>
        <v>24507</v>
      </c>
      <c r="AV9" s="47">
        <f t="shared" si="7"/>
        <v>0.1089</v>
      </c>
      <c r="AW9" s="47">
        <f t="shared" ref="AW9:AW72" si="29">AV9*10000</f>
        <v>1089</v>
      </c>
      <c r="AX9" s="47">
        <f t="shared" si="8"/>
        <v>64.281000000000006</v>
      </c>
      <c r="AY9" s="47"/>
      <c r="AZ9" s="47"/>
      <c r="BA9" s="54">
        <v>1E-4</v>
      </c>
      <c r="BB9" s="55" t="s">
        <v>132</v>
      </c>
      <c r="BC9" s="51">
        <f t="shared" ref="BC9:BC72" si="30">BD9+BE9+BG9+BH9</f>
        <v>363.24799999999999</v>
      </c>
      <c r="BD9" s="47">
        <f t="shared" si="9"/>
        <v>64.08</v>
      </c>
      <c r="BE9" s="47">
        <f t="shared" ref="BE9:BE72" si="31">ROUND(BF9*12/10000,4)</f>
        <v>48.167999999999999</v>
      </c>
      <c r="BF9" s="47">
        <v>40140</v>
      </c>
      <c r="BG9" s="56">
        <f>221+30</f>
        <v>251</v>
      </c>
      <c r="BH9" s="47"/>
      <c r="BI9" s="51">
        <f t="shared" si="10"/>
        <v>6.2430000000000003</v>
      </c>
      <c r="BJ9" s="51">
        <f t="shared" si="11"/>
        <v>3.2669999999999999</v>
      </c>
      <c r="BK9" s="47"/>
      <c r="BL9" s="47">
        <v>3.2669999999999999</v>
      </c>
      <c r="BM9" s="47"/>
      <c r="BN9" s="47"/>
      <c r="BO9" s="47"/>
      <c r="BP9" s="47">
        <v>2.976</v>
      </c>
      <c r="BQ9" s="47"/>
      <c r="BR9" s="47"/>
      <c r="BS9" s="53"/>
      <c r="BT9" s="47"/>
      <c r="BU9" s="47"/>
      <c r="BV9" s="47"/>
      <c r="BW9" s="47"/>
      <c r="BX9" s="47"/>
      <c r="BY9" s="47"/>
      <c r="BZ9" s="47"/>
      <c r="CA9" s="47"/>
      <c r="CB9" s="54">
        <f t="shared" si="12"/>
        <v>1092.7037</v>
      </c>
      <c r="CC9" s="47"/>
      <c r="CD9" s="57"/>
      <c r="CE9" s="47"/>
      <c r="CF9" s="47">
        <f t="shared" si="13"/>
        <v>1092.7037</v>
      </c>
    </row>
    <row r="10" spans="1:84" ht="14.25" customHeight="1">
      <c r="A10" s="47">
        <v>3</v>
      </c>
      <c r="B10" s="47" t="s">
        <v>129</v>
      </c>
      <c r="C10" s="48">
        <v>102001</v>
      </c>
      <c r="D10" s="49" t="s">
        <v>133</v>
      </c>
      <c r="E10" s="49" t="s">
        <v>131</v>
      </c>
      <c r="F10" s="50">
        <f t="shared" si="14"/>
        <v>55</v>
      </c>
      <c r="G10" s="50">
        <v>37</v>
      </c>
      <c r="H10" s="50">
        <v>6</v>
      </c>
      <c r="I10" s="50">
        <v>12</v>
      </c>
      <c r="J10" s="50"/>
      <c r="K10" s="50"/>
      <c r="L10" s="50"/>
      <c r="M10" s="50"/>
      <c r="N10" s="50">
        <v>27</v>
      </c>
      <c r="O10" s="50">
        <f t="shared" si="15"/>
        <v>82</v>
      </c>
      <c r="P10" s="51">
        <f t="shared" si="0"/>
        <v>1131.6686999999999</v>
      </c>
      <c r="Q10" s="51">
        <f t="shared" si="1"/>
        <v>689.10069999999996</v>
      </c>
      <c r="R10" s="47">
        <f t="shared" si="16"/>
        <v>220744</v>
      </c>
      <c r="S10" s="52">
        <v>182096</v>
      </c>
      <c r="T10" s="47">
        <v>38648</v>
      </c>
      <c r="U10" s="47">
        <f t="shared" si="17"/>
        <v>264.89280000000002</v>
      </c>
      <c r="V10" s="51">
        <f t="shared" si="2"/>
        <v>96.75</v>
      </c>
      <c r="W10" s="47">
        <f t="shared" si="18"/>
        <v>96.75</v>
      </c>
      <c r="X10" s="47"/>
      <c r="Y10" s="47"/>
      <c r="Z10" s="47"/>
      <c r="AA10" s="47"/>
      <c r="AB10" s="51">
        <f t="shared" si="19"/>
        <v>117.1352</v>
      </c>
      <c r="AC10" s="47">
        <f t="shared" si="20"/>
        <v>18.209599999999998</v>
      </c>
      <c r="AD10" s="47"/>
      <c r="AE10" s="47"/>
      <c r="AF10" s="47">
        <f t="shared" si="21"/>
        <v>98.925600000000003</v>
      </c>
      <c r="AG10" s="47">
        <v>82438</v>
      </c>
      <c r="AH10" s="47"/>
      <c r="AI10" s="47">
        <f t="shared" si="22"/>
        <v>31.08</v>
      </c>
      <c r="AJ10" s="53">
        <f t="shared" si="23"/>
        <v>81.577299999999994</v>
      </c>
      <c r="AK10" s="53">
        <f t="shared" si="24"/>
        <v>815772.99999999988</v>
      </c>
      <c r="AL10" s="47"/>
      <c r="AM10" s="47">
        <f t="shared" si="3"/>
        <v>33.5839</v>
      </c>
      <c r="AN10" s="47">
        <f t="shared" si="4"/>
        <v>31.6203</v>
      </c>
      <c r="AO10" s="47">
        <f t="shared" si="25"/>
        <v>316203</v>
      </c>
      <c r="AP10" s="47">
        <f t="shared" si="5"/>
        <v>1.9636</v>
      </c>
      <c r="AQ10" s="47">
        <f t="shared" si="26"/>
        <v>19636</v>
      </c>
      <c r="AR10" s="47"/>
      <c r="AS10" s="47">
        <f t="shared" si="27"/>
        <v>2.8984999999999999</v>
      </c>
      <c r="AT10" s="47">
        <f t="shared" si="6"/>
        <v>2.3563000000000001</v>
      </c>
      <c r="AU10" s="47">
        <f t="shared" si="28"/>
        <v>23563</v>
      </c>
      <c r="AV10" s="47">
        <f t="shared" si="7"/>
        <v>0.54220000000000002</v>
      </c>
      <c r="AW10" s="47">
        <f t="shared" si="29"/>
        <v>5422</v>
      </c>
      <c r="AX10" s="47">
        <f t="shared" si="8"/>
        <v>61.183</v>
      </c>
      <c r="AY10" s="47"/>
      <c r="AZ10" s="47"/>
      <c r="BA10" s="54">
        <v>1E-4</v>
      </c>
      <c r="BB10" s="55" t="s">
        <v>133</v>
      </c>
      <c r="BC10" s="51">
        <f t="shared" si="30"/>
        <v>442.56799999999998</v>
      </c>
      <c r="BD10" s="47">
        <f t="shared" si="9"/>
        <v>63.120000000000005</v>
      </c>
      <c r="BE10" s="47">
        <f t="shared" si="31"/>
        <v>38.448</v>
      </c>
      <c r="BF10" s="47">
        <v>32040</v>
      </c>
      <c r="BG10" s="56">
        <v>341</v>
      </c>
      <c r="BH10" s="47"/>
      <c r="BI10" s="51">
        <f t="shared" si="10"/>
        <v>0</v>
      </c>
      <c r="BJ10" s="51">
        <f t="shared" si="11"/>
        <v>0</v>
      </c>
      <c r="BK10" s="47"/>
      <c r="BL10" s="47"/>
      <c r="BM10" s="47"/>
      <c r="BN10" s="47"/>
      <c r="BO10" s="47"/>
      <c r="BP10" s="47"/>
      <c r="BQ10" s="47"/>
      <c r="BR10" s="47"/>
      <c r="BS10" s="53"/>
      <c r="BT10" s="47"/>
      <c r="BU10" s="47"/>
      <c r="BV10" s="47"/>
      <c r="BW10" s="47"/>
      <c r="BX10" s="47"/>
      <c r="BY10" s="47"/>
      <c r="BZ10" s="47"/>
      <c r="CA10" s="47"/>
      <c r="CB10" s="54">
        <f t="shared" si="12"/>
        <v>1131.6686999999999</v>
      </c>
      <c r="CC10" s="47"/>
      <c r="CD10" s="57"/>
      <c r="CE10" s="47"/>
      <c r="CF10" s="47">
        <f t="shared" si="13"/>
        <v>1131.6686999999999</v>
      </c>
    </row>
    <row r="11" spans="1:84" ht="14.25" customHeight="1">
      <c r="A11" s="47">
        <v>4</v>
      </c>
      <c r="B11" s="47" t="s">
        <v>129</v>
      </c>
      <c r="C11" s="48">
        <v>104001</v>
      </c>
      <c r="D11" s="49" t="s">
        <v>134</v>
      </c>
      <c r="E11" s="49" t="s">
        <v>131</v>
      </c>
      <c r="F11" s="50">
        <f t="shared" si="14"/>
        <v>28</v>
      </c>
      <c r="G11" s="50">
        <v>25</v>
      </c>
      <c r="H11" s="50">
        <v>2</v>
      </c>
      <c r="I11" s="50">
        <v>1</v>
      </c>
      <c r="J11" s="50"/>
      <c r="K11" s="50"/>
      <c r="L11" s="50"/>
      <c r="M11" s="50"/>
      <c r="N11" s="50">
        <v>30</v>
      </c>
      <c r="O11" s="50">
        <f t="shared" si="15"/>
        <v>58</v>
      </c>
      <c r="P11" s="51">
        <f t="shared" si="0"/>
        <v>615.60299999999995</v>
      </c>
      <c r="Q11" s="51">
        <f t="shared" si="1"/>
        <v>373.97059999999999</v>
      </c>
      <c r="R11" s="47">
        <f t="shared" si="16"/>
        <v>122449</v>
      </c>
      <c r="S11" s="52">
        <v>119300</v>
      </c>
      <c r="T11" s="47">
        <v>3149</v>
      </c>
      <c r="U11" s="47">
        <f t="shared" si="17"/>
        <v>146.93879999999999</v>
      </c>
      <c r="V11" s="51">
        <f t="shared" si="2"/>
        <v>60.75</v>
      </c>
      <c r="W11" s="47">
        <f t="shared" si="18"/>
        <v>60.75</v>
      </c>
      <c r="X11" s="47"/>
      <c r="Y11" s="47"/>
      <c r="Z11" s="47"/>
      <c r="AA11" s="47"/>
      <c r="AB11" s="51">
        <f t="shared" si="19"/>
        <v>66.7256</v>
      </c>
      <c r="AC11" s="47">
        <f t="shared" si="20"/>
        <v>11.93</v>
      </c>
      <c r="AD11" s="47"/>
      <c r="AE11" s="47"/>
      <c r="AF11" s="47">
        <f t="shared" si="21"/>
        <v>54.7956</v>
      </c>
      <c r="AG11" s="47">
        <v>45663</v>
      </c>
      <c r="AH11" s="47"/>
      <c r="AI11" s="47">
        <f t="shared" si="22"/>
        <v>2.59</v>
      </c>
      <c r="AJ11" s="53">
        <f t="shared" si="23"/>
        <v>44.320700000000002</v>
      </c>
      <c r="AK11" s="53">
        <f t="shared" si="24"/>
        <v>443207</v>
      </c>
      <c r="AL11" s="47"/>
      <c r="AM11" s="47">
        <f t="shared" si="3"/>
        <v>18.098700000000001</v>
      </c>
      <c r="AN11" s="47">
        <f t="shared" si="4"/>
        <v>17.0473</v>
      </c>
      <c r="AO11" s="47">
        <f t="shared" si="25"/>
        <v>170473</v>
      </c>
      <c r="AP11" s="47">
        <f t="shared" si="5"/>
        <v>1.0513999999999999</v>
      </c>
      <c r="AQ11" s="47">
        <f t="shared" si="26"/>
        <v>10513.999999999998</v>
      </c>
      <c r="AR11" s="47"/>
      <c r="AS11" s="47">
        <f t="shared" si="27"/>
        <v>1.3063</v>
      </c>
      <c r="AT11" s="47">
        <f t="shared" si="6"/>
        <v>1.2617</v>
      </c>
      <c r="AU11" s="47">
        <f t="shared" si="28"/>
        <v>12617</v>
      </c>
      <c r="AV11" s="47">
        <f t="shared" si="7"/>
        <v>4.4600000000000001E-2</v>
      </c>
      <c r="AW11" s="47">
        <f t="shared" si="29"/>
        <v>446</v>
      </c>
      <c r="AX11" s="47">
        <f t="shared" si="8"/>
        <v>33.240499999999997</v>
      </c>
      <c r="AY11" s="47"/>
      <c r="AZ11" s="47"/>
      <c r="BA11" s="54">
        <v>1E-4</v>
      </c>
      <c r="BB11" s="55" t="s">
        <v>134</v>
      </c>
      <c r="BC11" s="51">
        <f t="shared" si="30"/>
        <v>240.376</v>
      </c>
      <c r="BD11" s="47">
        <f t="shared" si="9"/>
        <v>33.36</v>
      </c>
      <c r="BE11" s="47">
        <f t="shared" si="31"/>
        <v>26.015999999999998</v>
      </c>
      <c r="BF11" s="47">
        <v>21680</v>
      </c>
      <c r="BG11" s="56">
        <v>181</v>
      </c>
      <c r="BH11" s="47"/>
      <c r="BI11" s="51">
        <f t="shared" si="10"/>
        <v>1.2564</v>
      </c>
      <c r="BJ11" s="51">
        <f t="shared" si="11"/>
        <v>0</v>
      </c>
      <c r="BK11" s="47"/>
      <c r="BL11" s="47"/>
      <c r="BM11" s="47"/>
      <c r="BN11" s="47"/>
      <c r="BO11" s="47"/>
      <c r="BP11" s="47">
        <v>1.2564</v>
      </c>
      <c r="BQ11" s="47"/>
      <c r="BR11" s="47"/>
      <c r="BS11" s="53"/>
      <c r="BT11" s="47"/>
      <c r="BU11" s="47"/>
      <c r="BV11" s="47"/>
      <c r="BW11" s="47"/>
      <c r="BX11" s="47">
        <v>143</v>
      </c>
      <c r="BY11" s="47"/>
      <c r="BZ11" s="47"/>
      <c r="CA11" s="47"/>
      <c r="CB11" s="54">
        <f t="shared" si="12"/>
        <v>758.60299999999995</v>
      </c>
      <c r="CC11" s="47"/>
      <c r="CD11" s="57"/>
      <c r="CE11" s="47"/>
      <c r="CF11" s="47">
        <f t="shared" si="13"/>
        <v>758.60299999999995</v>
      </c>
    </row>
    <row r="12" spans="1:84" ht="14.25" customHeight="1">
      <c r="A12" s="47">
        <v>5</v>
      </c>
      <c r="B12" s="47" t="s">
        <v>129</v>
      </c>
      <c r="C12" s="48">
        <v>105001</v>
      </c>
      <c r="D12" s="49" t="s">
        <v>135</v>
      </c>
      <c r="E12" s="49" t="s">
        <v>131</v>
      </c>
      <c r="F12" s="50">
        <f t="shared" si="14"/>
        <v>108</v>
      </c>
      <c r="G12" s="50">
        <v>101</v>
      </c>
      <c r="H12" s="50">
        <v>2</v>
      </c>
      <c r="I12" s="50">
        <v>4</v>
      </c>
      <c r="J12" s="50">
        <v>1</v>
      </c>
      <c r="K12" s="50"/>
      <c r="L12" s="50"/>
      <c r="M12" s="50"/>
      <c r="N12" s="50">
        <v>19</v>
      </c>
      <c r="O12" s="50">
        <f t="shared" si="15"/>
        <v>127</v>
      </c>
      <c r="P12" s="51">
        <f t="shared" si="0"/>
        <v>2077.9047999999998</v>
      </c>
      <c r="Q12" s="51">
        <f t="shared" si="1"/>
        <v>1299.1848</v>
      </c>
      <c r="R12" s="47">
        <f t="shared" si="16"/>
        <v>385290</v>
      </c>
      <c r="S12" s="52">
        <v>372440</v>
      </c>
      <c r="T12" s="47">
        <v>12850</v>
      </c>
      <c r="U12" s="47">
        <f t="shared" si="17"/>
        <v>462.34800000000001</v>
      </c>
      <c r="V12" s="51">
        <f t="shared" si="2"/>
        <v>269.952</v>
      </c>
      <c r="W12" s="47">
        <f t="shared" si="18"/>
        <v>231.75</v>
      </c>
      <c r="X12" s="47"/>
      <c r="Y12" s="47"/>
      <c r="Z12" s="47"/>
      <c r="AA12" s="47">
        <v>38.201999999999998</v>
      </c>
      <c r="AB12" s="51">
        <f t="shared" si="19"/>
        <v>227.5616</v>
      </c>
      <c r="AC12" s="47">
        <v>37.244</v>
      </c>
      <c r="AD12" s="47"/>
      <c r="AE12" s="47"/>
      <c r="AF12" s="47">
        <f t="shared" si="21"/>
        <v>190.3176</v>
      </c>
      <c r="AG12" s="47">
        <v>158598</v>
      </c>
      <c r="AH12" s="47"/>
      <c r="AI12" s="47">
        <f t="shared" si="22"/>
        <v>12.95</v>
      </c>
      <c r="AJ12" s="53">
        <f t="shared" si="23"/>
        <v>149.53749999999999</v>
      </c>
      <c r="AK12" s="53">
        <f t="shared" si="24"/>
        <v>1495375</v>
      </c>
      <c r="AL12" s="47"/>
      <c r="AM12" s="47">
        <f t="shared" si="3"/>
        <v>60.241599999999998</v>
      </c>
      <c r="AN12" s="47">
        <f t="shared" si="4"/>
        <v>56.706299999999999</v>
      </c>
      <c r="AO12" s="47">
        <f t="shared" si="25"/>
        <v>567063</v>
      </c>
      <c r="AP12" s="47">
        <f t="shared" si="5"/>
        <v>3.5352000000000001</v>
      </c>
      <c r="AQ12" s="47">
        <f t="shared" si="26"/>
        <v>35352</v>
      </c>
      <c r="AR12" s="47"/>
      <c r="AS12" s="47">
        <f t="shared" si="27"/>
        <v>4.4409000000000001</v>
      </c>
      <c r="AT12" s="47">
        <f t="shared" si="6"/>
        <v>4.2423000000000002</v>
      </c>
      <c r="AU12" s="47">
        <f t="shared" si="28"/>
        <v>42423</v>
      </c>
      <c r="AV12" s="47">
        <f t="shared" si="7"/>
        <v>0.1986</v>
      </c>
      <c r="AW12" s="47">
        <f t="shared" si="29"/>
        <v>1986</v>
      </c>
      <c r="AX12" s="47">
        <f t="shared" si="8"/>
        <v>112.1532</v>
      </c>
      <c r="AY12" s="47"/>
      <c r="AZ12" s="47"/>
      <c r="BA12" s="54">
        <v>1E-4</v>
      </c>
      <c r="BB12" s="55" t="s">
        <v>135</v>
      </c>
      <c r="BC12" s="51">
        <f t="shared" si="30"/>
        <v>775.40800000000002</v>
      </c>
      <c r="BD12" s="47">
        <f>2.5*(G12+H12)+0.96*(I12+J12)</f>
        <v>262.3</v>
      </c>
      <c r="BE12" s="47">
        <f t="shared" si="31"/>
        <v>78.108000000000004</v>
      </c>
      <c r="BF12" s="47">
        <v>65090</v>
      </c>
      <c r="BG12" s="56">
        <v>120</v>
      </c>
      <c r="BH12" s="47">
        <v>315</v>
      </c>
      <c r="BI12" s="51">
        <f t="shared" si="10"/>
        <v>3.3119999999999998</v>
      </c>
      <c r="BJ12" s="51">
        <f t="shared" si="11"/>
        <v>0</v>
      </c>
      <c r="BK12" s="47"/>
      <c r="BL12" s="47"/>
      <c r="BM12" s="47"/>
      <c r="BN12" s="47"/>
      <c r="BO12" s="47"/>
      <c r="BP12" s="47">
        <v>3.3119999999999998</v>
      </c>
      <c r="BQ12" s="47"/>
      <c r="BR12" s="47"/>
      <c r="BS12" s="53"/>
      <c r="BT12" s="47"/>
      <c r="BU12" s="47"/>
      <c r="BV12" s="47"/>
      <c r="BW12" s="47"/>
      <c r="BX12" s="47">
        <v>507</v>
      </c>
      <c r="BY12" s="47"/>
      <c r="BZ12" s="47">
        <v>20</v>
      </c>
      <c r="CA12" s="47"/>
      <c r="CB12" s="54">
        <f t="shared" si="12"/>
        <v>2604.9047999999998</v>
      </c>
      <c r="CC12" s="47"/>
      <c r="CD12" s="57"/>
      <c r="CE12" s="47"/>
      <c r="CF12" s="47">
        <f t="shared" si="13"/>
        <v>2604.9047999999998</v>
      </c>
    </row>
    <row r="13" spans="1:84" ht="14.25" customHeight="1">
      <c r="A13" s="47">
        <v>6</v>
      </c>
      <c r="B13" s="47" t="s">
        <v>129</v>
      </c>
      <c r="C13" s="48">
        <v>109001</v>
      </c>
      <c r="D13" s="49" t="s">
        <v>136</v>
      </c>
      <c r="E13" s="49" t="s">
        <v>131</v>
      </c>
      <c r="F13" s="50">
        <f t="shared" si="14"/>
        <v>21</v>
      </c>
      <c r="G13" s="50">
        <v>14</v>
      </c>
      <c r="H13" s="50">
        <v>2</v>
      </c>
      <c r="I13" s="50">
        <v>4</v>
      </c>
      <c r="J13" s="50">
        <v>1</v>
      </c>
      <c r="K13" s="50"/>
      <c r="L13" s="50"/>
      <c r="M13" s="50"/>
      <c r="N13" s="50">
        <v>8</v>
      </c>
      <c r="O13" s="50">
        <f t="shared" si="15"/>
        <v>29</v>
      </c>
      <c r="P13" s="51">
        <f t="shared" si="0"/>
        <v>706.42820000000006</v>
      </c>
      <c r="Q13" s="51">
        <f t="shared" si="1"/>
        <v>264.17419999999998</v>
      </c>
      <c r="R13" s="47">
        <f t="shared" si="16"/>
        <v>74631</v>
      </c>
      <c r="S13" s="52">
        <v>62541</v>
      </c>
      <c r="T13" s="47">
        <v>12090</v>
      </c>
      <c r="U13" s="47">
        <f t="shared" si="17"/>
        <v>89.557199999999995</v>
      </c>
      <c r="V13" s="51">
        <f t="shared" si="2"/>
        <v>56.16</v>
      </c>
      <c r="W13" s="47">
        <f t="shared" si="18"/>
        <v>36</v>
      </c>
      <c r="X13" s="47"/>
      <c r="Y13" s="47"/>
      <c r="Z13" s="47"/>
      <c r="AA13" s="47">
        <v>20.16</v>
      </c>
      <c r="AB13" s="51">
        <f t="shared" si="19"/>
        <v>42.084900000000005</v>
      </c>
      <c r="AC13" s="47">
        <f t="shared" si="20"/>
        <v>6.2541000000000002</v>
      </c>
      <c r="AD13" s="47"/>
      <c r="AE13" s="47"/>
      <c r="AF13" s="47">
        <f t="shared" si="21"/>
        <v>35.830800000000004</v>
      </c>
      <c r="AG13" s="47">
        <v>29859</v>
      </c>
      <c r="AH13" s="47"/>
      <c r="AI13" s="47">
        <f t="shared" si="22"/>
        <v>12.95</v>
      </c>
      <c r="AJ13" s="53">
        <f t="shared" si="23"/>
        <v>28.8947</v>
      </c>
      <c r="AK13" s="53">
        <f t="shared" si="24"/>
        <v>288947</v>
      </c>
      <c r="AL13" s="47"/>
      <c r="AM13" s="47">
        <f t="shared" si="3"/>
        <v>11.8331</v>
      </c>
      <c r="AN13" s="47">
        <f t="shared" si="4"/>
        <v>11.140599999999999</v>
      </c>
      <c r="AO13" s="47">
        <f t="shared" si="25"/>
        <v>111405.99999999999</v>
      </c>
      <c r="AP13" s="47">
        <f t="shared" si="5"/>
        <v>0.6925</v>
      </c>
      <c r="AQ13" s="47">
        <f t="shared" si="26"/>
        <v>6925</v>
      </c>
      <c r="AR13" s="47"/>
      <c r="AS13" s="47">
        <f t="shared" si="27"/>
        <v>1.0232000000000001</v>
      </c>
      <c r="AT13" s="47">
        <f t="shared" si="6"/>
        <v>0.83099999999999996</v>
      </c>
      <c r="AU13" s="47">
        <f t="shared" si="28"/>
        <v>8310</v>
      </c>
      <c r="AV13" s="47">
        <f t="shared" si="7"/>
        <v>0.19220000000000001</v>
      </c>
      <c r="AW13" s="47">
        <f t="shared" si="29"/>
        <v>1922</v>
      </c>
      <c r="AX13" s="47">
        <f t="shared" si="8"/>
        <v>21.671099999999999</v>
      </c>
      <c r="AY13" s="47"/>
      <c r="AZ13" s="47"/>
      <c r="BA13" s="54">
        <v>1E-4</v>
      </c>
      <c r="BB13" s="55" t="s">
        <v>136</v>
      </c>
      <c r="BC13" s="51">
        <f t="shared" si="30"/>
        <v>231.636</v>
      </c>
      <c r="BD13" s="47">
        <f t="shared" si="9"/>
        <v>24</v>
      </c>
      <c r="BE13" s="47">
        <f t="shared" si="31"/>
        <v>12.635999999999999</v>
      </c>
      <c r="BF13" s="47">
        <v>10530</v>
      </c>
      <c r="BG13" s="56">
        <v>6</v>
      </c>
      <c r="BH13" s="47">
        <v>189</v>
      </c>
      <c r="BI13" s="51">
        <f t="shared" si="10"/>
        <v>210.61799999999999</v>
      </c>
      <c r="BJ13" s="51">
        <f t="shared" si="11"/>
        <v>0</v>
      </c>
      <c r="BK13" s="47"/>
      <c r="BL13" s="47"/>
      <c r="BM13" s="47"/>
      <c r="BN13" s="47"/>
      <c r="BO13" s="47"/>
      <c r="BP13" s="47">
        <v>0.61799999999999999</v>
      </c>
      <c r="BQ13" s="47"/>
      <c r="BR13" s="47"/>
      <c r="BS13" s="53"/>
      <c r="BT13" s="47"/>
      <c r="BU13" s="47"/>
      <c r="BV13" s="47"/>
      <c r="BW13" s="47">
        <v>210</v>
      </c>
      <c r="BX13" s="47">
        <v>162</v>
      </c>
      <c r="BY13" s="47"/>
      <c r="BZ13" s="47">
        <v>73</v>
      </c>
      <c r="CA13" s="47"/>
      <c r="CB13" s="54">
        <f t="shared" si="12"/>
        <v>941.42820000000006</v>
      </c>
      <c r="CC13" s="47"/>
      <c r="CD13" s="57"/>
      <c r="CE13" s="47"/>
      <c r="CF13" s="47">
        <f t="shared" si="13"/>
        <v>941.42820000000006</v>
      </c>
    </row>
    <row r="14" spans="1:84" ht="14.25" customHeight="1">
      <c r="A14" s="47">
        <v>7</v>
      </c>
      <c r="B14" s="47" t="s">
        <v>129</v>
      </c>
      <c r="C14" s="48">
        <v>106001</v>
      </c>
      <c r="D14" s="49" t="s">
        <v>137</v>
      </c>
      <c r="E14" s="49" t="s">
        <v>131</v>
      </c>
      <c r="F14" s="50">
        <f t="shared" si="14"/>
        <v>33</v>
      </c>
      <c r="G14" s="50">
        <v>30</v>
      </c>
      <c r="H14" s="50"/>
      <c r="I14" s="50">
        <v>3</v>
      </c>
      <c r="J14" s="50"/>
      <c r="K14" s="50"/>
      <c r="L14" s="50"/>
      <c r="M14" s="50"/>
      <c r="N14" s="50">
        <v>9</v>
      </c>
      <c r="O14" s="50">
        <f t="shared" si="15"/>
        <v>42</v>
      </c>
      <c r="P14" s="51">
        <f t="shared" si="0"/>
        <v>873.85829999999987</v>
      </c>
      <c r="Q14" s="51">
        <f t="shared" si="1"/>
        <v>369.18229999999994</v>
      </c>
      <c r="R14" s="47">
        <f t="shared" si="16"/>
        <v>109884</v>
      </c>
      <c r="S14" s="52">
        <v>100962</v>
      </c>
      <c r="T14" s="47">
        <v>8922</v>
      </c>
      <c r="U14" s="47">
        <f t="shared" si="17"/>
        <v>131.86080000000001</v>
      </c>
      <c r="V14" s="51">
        <f t="shared" si="2"/>
        <v>67.5</v>
      </c>
      <c r="W14" s="47">
        <f t="shared" si="18"/>
        <v>67.5</v>
      </c>
      <c r="X14" s="47"/>
      <c r="Y14" s="47"/>
      <c r="Z14" s="47"/>
      <c r="AA14" s="47"/>
      <c r="AB14" s="51">
        <f t="shared" si="19"/>
        <v>66.413399999999996</v>
      </c>
      <c r="AC14" s="47">
        <f t="shared" si="20"/>
        <v>10.0962</v>
      </c>
      <c r="AD14" s="47"/>
      <c r="AE14" s="47"/>
      <c r="AF14" s="47">
        <f t="shared" si="21"/>
        <v>56.3172</v>
      </c>
      <c r="AG14" s="47">
        <v>46931</v>
      </c>
      <c r="AH14" s="47"/>
      <c r="AI14" s="47">
        <f t="shared" si="22"/>
        <v>7.77</v>
      </c>
      <c r="AJ14" s="53">
        <f t="shared" si="23"/>
        <v>43.767099999999999</v>
      </c>
      <c r="AK14" s="53">
        <f t="shared" si="24"/>
        <v>437671</v>
      </c>
      <c r="AL14" s="47"/>
      <c r="AM14" s="47">
        <f t="shared" si="3"/>
        <v>17.6736</v>
      </c>
      <c r="AN14" s="47">
        <f t="shared" si="4"/>
        <v>16.638000000000002</v>
      </c>
      <c r="AO14" s="47">
        <f t="shared" si="25"/>
        <v>166380.00000000003</v>
      </c>
      <c r="AP14" s="47">
        <f t="shared" si="5"/>
        <v>1.0357000000000001</v>
      </c>
      <c r="AQ14" s="47">
        <f t="shared" si="26"/>
        <v>10357</v>
      </c>
      <c r="AR14" s="47"/>
      <c r="AS14" s="47">
        <f t="shared" si="27"/>
        <v>1.3721000000000001</v>
      </c>
      <c r="AT14" s="47">
        <f t="shared" si="6"/>
        <v>1.2427999999999999</v>
      </c>
      <c r="AU14" s="47">
        <f t="shared" si="28"/>
        <v>12427.999999999998</v>
      </c>
      <c r="AV14" s="47">
        <f t="shared" si="7"/>
        <v>0.1293</v>
      </c>
      <c r="AW14" s="47">
        <f t="shared" si="29"/>
        <v>1293</v>
      </c>
      <c r="AX14" s="47">
        <f t="shared" si="8"/>
        <v>32.825299999999999</v>
      </c>
      <c r="AY14" s="47"/>
      <c r="AZ14" s="47"/>
      <c r="BA14" s="54">
        <v>1E-4</v>
      </c>
      <c r="BB14" s="55" t="s">
        <v>137</v>
      </c>
      <c r="BC14" s="51">
        <f t="shared" si="30"/>
        <v>242.76400000000001</v>
      </c>
      <c r="BD14" s="47">
        <f t="shared" si="9"/>
        <v>38.880000000000003</v>
      </c>
      <c r="BE14" s="47">
        <f t="shared" si="31"/>
        <v>22.884</v>
      </c>
      <c r="BF14" s="47">
        <v>19070</v>
      </c>
      <c r="BG14" s="56">
        <v>181</v>
      </c>
      <c r="BH14" s="47"/>
      <c r="BI14" s="51">
        <f t="shared" si="10"/>
        <v>261.91199999999998</v>
      </c>
      <c r="BJ14" s="51">
        <f t="shared" si="11"/>
        <v>0</v>
      </c>
      <c r="BK14" s="47"/>
      <c r="BL14" s="47"/>
      <c r="BM14" s="47"/>
      <c r="BN14" s="47"/>
      <c r="BO14" s="47"/>
      <c r="BP14" s="47">
        <v>1.512</v>
      </c>
      <c r="BQ14" s="47"/>
      <c r="BR14" s="47"/>
      <c r="BS14" s="53"/>
      <c r="BT14" s="47"/>
      <c r="BU14" s="47"/>
      <c r="BV14" s="47"/>
      <c r="BW14" s="47">
        <v>260.39999999999998</v>
      </c>
      <c r="BX14" s="47">
        <v>495</v>
      </c>
      <c r="BY14" s="47"/>
      <c r="BZ14" s="47">
        <v>81.73</v>
      </c>
      <c r="CA14" s="47"/>
      <c r="CB14" s="54">
        <f t="shared" si="12"/>
        <v>1450.5882999999999</v>
      </c>
      <c r="CC14" s="47"/>
      <c r="CD14" s="57"/>
      <c r="CE14" s="47"/>
      <c r="CF14" s="47">
        <f t="shared" si="13"/>
        <v>1450.5882999999999</v>
      </c>
    </row>
    <row r="15" spans="1:84" ht="14.25" customHeight="1">
      <c r="A15" s="47">
        <v>8</v>
      </c>
      <c r="B15" s="47" t="s">
        <v>129</v>
      </c>
      <c r="C15" s="48">
        <v>107001</v>
      </c>
      <c r="D15" s="49" t="s">
        <v>138</v>
      </c>
      <c r="E15" s="49" t="s">
        <v>131</v>
      </c>
      <c r="F15" s="50">
        <f t="shared" si="14"/>
        <v>19</v>
      </c>
      <c r="G15" s="50">
        <v>17</v>
      </c>
      <c r="H15" s="50">
        <v>1</v>
      </c>
      <c r="I15" s="50">
        <v>1</v>
      </c>
      <c r="J15" s="50"/>
      <c r="K15" s="50"/>
      <c r="L15" s="50"/>
      <c r="M15" s="50"/>
      <c r="N15" s="50">
        <v>6</v>
      </c>
      <c r="O15" s="50">
        <f t="shared" si="15"/>
        <v>25</v>
      </c>
      <c r="P15" s="51">
        <f t="shared" si="0"/>
        <v>453.73059999999998</v>
      </c>
      <c r="Q15" s="51">
        <f t="shared" si="1"/>
        <v>230.38660000000002</v>
      </c>
      <c r="R15" s="47">
        <f t="shared" si="16"/>
        <v>71755</v>
      </c>
      <c r="S15" s="52">
        <v>69032</v>
      </c>
      <c r="T15" s="47">
        <v>2723</v>
      </c>
      <c r="U15" s="47">
        <f t="shared" si="17"/>
        <v>86.105999999999995</v>
      </c>
      <c r="V15" s="51">
        <f t="shared" si="2"/>
        <v>40.5</v>
      </c>
      <c r="W15" s="47">
        <f t="shared" si="18"/>
        <v>40.5</v>
      </c>
      <c r="X15" s="47"/>
      <c r="Y15" s="47"/>
      <c r="Z15" s="47"/>
      <c r="AA15" s="47"/>
      <c r="AB15" s="51">
        <f t="shared" si="19"/>
        <v>41.541199999999996</v>
      </c>
      <c r="AC15" s="47">
        <f t="shared" si="20"/>
        <v>6.9032</v>
      </c>
      <c r="AD15" s="47"/>
      <c r="AE15" s="47"/>
      <c r="AF15" s="47">
        <f t="shared" si="21"/>
        <v>34.637999999999998</v>
      </c>
      <c r="AG15" s="47">
        <v>28865</v>
      </c>
      <c r="AH15" s="47"/>
      <c r="AI15" s="47">
        <f t="shared" si="22"/>
        <v>2.59</v>
      </c>
      <c r="AJ15" s="53">
        <f t="shared" si="23"/>
        <v>27.318000000000001</v>
      </c>
      <c r="AK15" s="53">
        <f t="shared" si="24"/>
        <v>273180</v>
      </c>
      <c r="AL15" s="47"/>
      <c r="AM15" s="47">
        <f t="shared" si="3"/>
        <v>11.0267</v>
      </c>
      <c r="AN15" s="47">
        <f t="shared" si="4"/>
        <v>10.380699999999999</v>
      </c>
      <c r="AO15" s="47">
        <f t="shared" si="25"/>
        <v>103806.99999999999</v>
      </c>
      <c r="AP15" s="47">
        <f t="shared" si="5"/>
        <v>0.64600000000000002</v>
      </c>
      <c r="AQ15" s="47">
        <f t="shared" si="26"/>
        <v>6460</v>
      </c>
      <c r="AR15" s="47"/>
      <c r="AS15" s="47">
        <f t="shared" si="27"/>
        <v>0.81620000000000004</v>
      </c>
      <c r="AT15" s="47">
        <f t="shared" si="6"/>
        <v>0.7752</v>
      </c>
      <c r="AU15" s="47">
        <f t="shared" si="28"/>
        <v>7752</v>
      </c>
      <c r="AV15" s="47">
        <f t="shared" si="7"/>
        <v>4.1000000000000002E-2</v>
      </c>
      <c r="AW15" s="47">
        <f t="shared" si="29"/>
        <v>410</v>
      </c>
      <c r="AX15" s="47">
        <f t="shared" si="8"/>
        <v>20.488499999999998</v>
      </c>
      <c r="AY15" s="47"/>
      <c r="AZ15" s="47"/>
      <c r="BA15" s="54">
        <v>1E-4</v>
      </c>
      <c r="BB15" s="55" t="s">
        <v>138</v>
      </c>
      <c r="BC15" s="51">
        <f t="shared" si="30"/>
        <v>128.34399999999999</v>
      </c>
      <c r="BD15" s="47">
        <f t="shared" si="9"/>
        <v>22.56</v>
      </c>
      <c r="BE15" s="47">
        <f t="shared" si="31"/>
        <v>14.784000000000001</v>
      </c>
      <c r="BF15" s="47">
        <v>12320</v>
      </c>
      <c r="BG15" s="56">
        <v>91</v>
      </c>
      <c r="BH15" s="47"/>
      <c r="BI15" s="51">
        <f t="shared" si="10"/>
        <v>95</v>
      </c>
      <c r="BJ15" s="51">
        <f t="shared" si="11"/>
        <v>0</v>
      </c>
      <c r="BK15" s="47"/>
      <c r="BL15" s="47"/>
      <c r="BM15" s="47"/>
      <c r="BN15" s="47"/>
      <c r="BO15" s="47"/>
      <c r="BP15" s="47"/>
      <c r="BQ15" s="47"/>
      <c r="BR15" s="47"/>
      <c r="BS15" s="53"/>
      <c r="BT15" s="47"/>
      <c r="BU15" s="47"/>
      <c r="BV15" s="47"/>
      <c r="BW15" s="47">
        <v>95</v>
      </c>
      <c r="BX15" s="47">
        <v>287</v>
      </c>
      <c r="BY15" s="47"/>
      <c r="BZ15" s="47"/>
      <c r="CA15" s="47"/>
      <c r="CB15" s="54">
        <f t="shared" si="12"/>
        <v>740.73059999999998</v>
      </c>
      <c r="CC15" s="47">
        <v>7</v>
      </c>
      <c r="CD15" s="57"/>
      <c r="CE15" s="47"/>
      <c r="CF15" s="47">
        <f t="shared" si="13"/>
        <v>747.73059999999998</v>
      </c>
    </row>
    <row r="16" spans="1:84" ht="14.25" customHeight="1">
      <c r="A16" s="47">
        <v>9</v>
      </c>
      <c r="B16" s="47" t="s">
        <v>129</v>
      </c>
      <c r="C16" s="48">
        <v>108001</v>
      </c>
      <c r="D16" s="49" t="s">
        <v>139</v>
      </c>
      <c r="E16" s="49" t="s">
        <v>131</v>
      </c>
      <c r="F16" s="50">
        <f t="shared" si="14"/>
        <v>11</v>
      </c>
      <c r="G16" s="50">
        <v>9</v>
      </c>
      <c r="H16" s="50"/>
      <c r="I16" s="50">
        <v>2</v>
      </c>
      <c r="J16" s="50"/>
      <c r="K16" s="50"/>
      <c r="L16" s="50"/>
      <c r="M16" s="50"/>
      <c r="N16" s="50">
        <v>6</v>
      </c>
      <c r="O16" s="50">
        <f t="shared" si="15"/>
        <v>17</v>
      </c>
      <c r="P16" s="51">
        <f t="shared" si="0"/>
        <v>242.77670000000001</v>
      </c>
      <c r="Q16" s="51">
        <f t="shared" si="1"/>
        <v>135.36270000000002</v>
      </c>
      <c r="R16" s="47">
        <f t="shared" si="16"/>
        <v>42526</v>
      </c>
      <c r="S16" s="52">
        <v>37484</v>
      </c>
      <c r="T16" s="47">
        <v>5042</v>
      </c>
      <c r="U16" s="47">
        <f t="shared" si="17"/>
        <v>51.031199999999998</v>
      </c>
      <c r="V16" s="51">
        <f t="shared" si="2"/>
        <v>20.25</v>
      </c>
      <c r="W16" s="47">
        <f t="shared" si="18"/>
        <v>20.25</v>
      </c>
      <c r="X16" s="47"/>
      <c r="Y16" s="47"/>
      <c r="Z16" s="47"/>
      <c r="AA16" s="47"/>
      <c r="AB16" s="51">
        <f t="shared" si="19"/>
        <v>23.758400000000002</v>
      </c>
      <c r="AC16" s="47">
        <f t="shared" si="20"/>
        <v>3.7484000000000002</v>
      </c>
      <c r="AD16" s="47"/>
      <c r="AE16" s="47"/>
      <c r="AF16" s="47">
        <f t="shared" si="21"/>
        <v>20.010000000000002</v>
      </c>
      <c r="AG16" s="47">
        <v>16675</v>
      </c>
      <c r="AH16" s="47"/>
      <c r="AI16" s="47">
        <f t="shared" si="22"/>
        <v>5.18</v>
      </c>
      <c r="AJ16" s="53">
        <f t="shared" si="23"/>
        <v>16.0351</v>
      </c>
      <c r="AK16" s="53">
        <f t="shared" si="24"/>
        <v>160351</v>
      </c>
      <c r="AL16" s="47"/>
      <c r="AM16" s="47">
        <f t="shared" si="3"/>
        <v>6.5442</v>
      </c>
      <c r="AN16" s="47">
        <f t="shared" si="4"/>
        <v>6.1619000000000002</v>
      </c>
      <c r="AO16" s="47">
        <f t="shared" si="25"/>
        <v>61619</v>
      </c>
      <c r="AP16" s="47">
        <f t="shared" si="5"/>
        <v>0.38229999999999997</v>
      </c>
      <c r="AQ16" s="47">
        <f t="shared" si="26"/>
        <v>3822.9999999999995</v>
      </c>
      <c r="AR16" s="47"/>
      <c r="AS16" s="47">
        <f t="shared" si="27"/>
        <v>0.53739999999999999</v>
      </c>
      <c r="AT16" s="47">
        <f t="shared" si="6"/>
        <v>0.45879999999999999</v>
      </c>
      <c r="AU16" s="47">
        <f t="shared" si="28"/>
        <v>4588</v>
      </c>
      <c r="AV16" s="47">
        <f t="shared" si="7"/>
        <v>7.8600000000000003E-2</v>
      </c>
      <c r="AW16" s="47">
        <f t="shared" si="29"/>
        <v>786</v>
      </c>
      <c r="AX16" s="47">
        <f t="shared" si="8"/>
        <v>12.026400000000001</v>
      </c>
      <c r="AY16" s="47"/>
      <c r="AZ16" s="47"/>
      <c r="BA16" s="54">
        <v>1E-4</v>
      </c>
      <c r="BB16" s="55" t="s">
        <v>139</v>
      </c>
      <c r="BC16" s="51">
        <f t="shared" si="30"/>
        <v>106.904</v>
      </c>
      <c r="BD16" s="47">
        <f t="shared" si="9"/>
        <v>12.719999999999999</v>
      </c>
      <c r="BE16" s="47">
        <f t="shared" si="31"/>
        <v>8.1839999999999993</v>
      </c>
      <c r="BF16" s="47">
        <v>6820</v>
      </c>
      <c r="BG16" s="56">
        <v>86</v>
      </c>
      <c r="BH16" s="47"/>
      <c r="BI16" s="51">
        <f t="shared" si="10"/>
        <v>0.51</v>
      </c>
      <c r="BJ16" s="51">
        <f t="shared" si="11"/>
        <v>0</v>
      </c>
      <c r="BK16" s="47"/>
      <c r="BL16" s="47"/>
      <c r="BM16" s="47"/>
      <c r="BN16" s="47"/>
      <c r="BO16" s="47"/>
      <c r="BP16" s="47">
        <v>0.51</v>
      </c>
      <c r="BQ16" s="47"/>
      <c r="BR16" s="47"/>
      <c r="BS16" s="53"/>
      <c r="BT16" s="47"/>
      <c r="BU16" s="47"/>
      <c r="BV16" s="47"/>
      <c r="BW16" s="47"/>
      <c r="BX16" s="47">
        <v>20</v>
      </c>
      <c r="BY16" s="47"/>
      <c r="BZ16" s="47">
        <v>30</v>
      </c>
      <c r="CA16" s="47"/>
      <c r="CB16" s="54">
        <f t="shared" si="12"/>
        <v>292.77670000000001</v>
      </c>
      <c r="CC16" s="47"/>
      <c r="CD16" s="57"/>
      <c r="CE16" s="47"/>
      <c r="CF16" s="47">
        <f t="shared" si="13"/>
        <v>292.77670000000001</v>
      </c>
    </row>
    <row r="17" spans="1:84" ht="14.25" customHeight="1">
      <c r="A17" s="47">
        <v>10</v>
      </c>
      <c r="B17" s="47" t="s">
        <v>129</v>
      </c>
      <c r="C17" s="48">
        <v>121001</v>
      </c>
      <c r="D17" s="49" t="s">
        <v>140</v>
      </c>
      <c r="E17" s="49" t="s">
        <v>141</v>
      </c>
      <c r="F17" s="50">
        <f t="shared" si="14"/>
        <v>20</v>
      </c>
      <c r="G17" s="50">
        <v>12</v>
      </c>
      <c r="H17" s="50">
        <v>1</v>
      </c>
      <c r="I17" s="50">
        <v>7</v>
      </c>
      <c r="J17" s="50"/>
      <c r="K17" s="50"/>
      <c r="L17" s="50"/>
      <c r="M17" s="50"/>
      <c r="N17" s="50">
        <v>10</v>
      </c>
      <c r="O17" s="50">
        <f t="shared" si="15"/>
        <v>30</v>
      </c>
      <c r="P17" s="51">
        <f t="shared" si="0"/>
        <v>373.75999999999993</v>
      </c>
      <c r="Q17" s="51">
        <f t="shared" si="1"/>
        <v>252.21199999999999</v>
      </c>
      <c r="R17" s="47">
        <f t="shared" si="16"/>
        <v>84179</v>
      </c>
      <c r="S17" s="52">
        <v>48055</v>
      </c>
      <c r="T17" s="47">
        <v>36124</v>
      </c>
      <c r="U17" s="47">
        <f t="shared" si="17"/>
        <v>101.01479999999999</v>
      </c>
      <c r="V17" s="51">
        <f t="shared" si="2"/>
        <v>29.25</v>
      </c>
      <c r="W17" s="47">
        <f t="shared" si="18"/>
        <v>29.25</v>
      </c>
      <c r="X17" s="47"/>
      <c r="Y17" s="47"/>
      <c r="Z17" s="47"/>
      <c r="AA17" s="47"/>
      <c r="AB17" s="51">
        <f t="shared" si="19"/>
        <v>37.701100000000004</v>
      </c>
      <c r="AC17" s="47">
        <f t="shared" si="20"/>
        <v>4.8055000000000003</v>
      </c>
      <c r="AD17" s="47"/>
      <c r="AE17" s="47"/>
      <c r="AF17" s="47">
        <f t="shared" si="21"/>
        <v>32.895600000000002</v>
      </c>
      <c r="AG17" s="47">
        <v>27413</v>
      </c>
      <c r="AH17" s="47"/>
      <c r="AI17" s="47">
        <f t="shared" si="22"/>
        <v>18.13</v>
      </c>
      <c r="AJ17" s="53">
        <f t="shared" si="23"/>
        <v>29.775300000000001</v>
      </c>
      <c r="AK17" s="53">
        <f t="shared" si="24"/>
        <v>297753</v>
      </c>
      <c r="AL17" s="47"/>
      <c r="AM17" s="47">
        <f t="shared" si="3"/>
        <v>12.688599999999999</v>
      </c>
      <c r="AN17" s="47">
        <f t="shared" si="4"/>
        <v>11.9466</v>
      </c>
      <c r="AO17" s="47">
        <f t="shared" si="25"/>
        <v>119466</v>
      </c>
      <c r="AP17" s="47">
        <f t="shared" si="5"/>
        <v>0.74199999999999999</v>
      </c>
      <c r="AQ17" s="47">
        <f t="shared" si="26"/>
        <v>7420</v>
      </c>
      <c r="AR17" s="47"/>
      <c r="AS17" s="47">
        <f t="shared" si="27"/>
        <v>1.3207</v>
      </c>
      <c r="AT17" s="47">
        <f t="shared" si="6"/>
        <v>0.89039999999999997</v>
      </c>
      <c r="AU17" s="47">
        <f t="shared" si="28"/>
        <v>8904</v>
      </c>
      <c r="AV17" s="47">
        <f t="shared" si="7"/>
        <v>0.4304</v>
      </c>
      <c r="AW17" s="47">
        <f t="shared" si="29"/>
        <v>4304</v>
      </c>
      <c r="AX17" s="47">
        <f t="shared" si="8"/>
        <v>22.331499999999998</v>
      </c>
      <c r="AY17" s="47"/>
      <c r="AZ17" s="47"/>
      <c r="BA17" s="54">
        <v>1E-4</v>
      </c>
      <c r="BB17" s="55" t="s">
        <v>140</v>
      </c>
      <c r="BC17" s="51">
        <f t="shared" si="30"/>
        <v>119.06399999999999</v>
      </c>
      <c r="BD17" s="47">
        <f t="shared" si="9"/>
        <v>22.32</v>
      </c>
      <c r="BE17" s="47">
        <f t="shared" si="31"/>
        <v>15.744</v>
      </c>
      <c r="BF17" s="47">
        <v>13120</v>
      </c>
      <c r="BG17" s="56">
        <v>81</v>
      </c>
      <c r="BH17" s="47"/>
      <c r="BI17" s="51">
        <f t="shared" si="10"/>
        <v>2.484</v>
      </c>
      <c r="BJ17" s="51">
        <f t="shared" si="11"/>
        <v>0</v>
      </c>
      <c r="BK17" s="47"/>
      <c r="BL17" s="47"/>
      <c r="BM17" s="47"/>
      <c r="BN17" s="47"/>
      <c r="BO17" s="47"/>
      <c r="BP17" s="47">
        <v>2.484</v>
      </c>
      <c r="BQ17" s="47"/>
      <c r="BR17" s="47"/>
      <c r="BS17" s="53"/>
      <c r="BT17" s="47"/>
      <c r="BU17" s="47"/>
      <c r="BV17" s="47"/>
      <c r="BW17" s="47"/>
      <c r="BX17" s="47"/>
      <c r="BY17" s="47"/>
      <c r="BZ17" s="47"/>
      <c r="CA17" s="47"/>
      <c r="CB17" s="54">
        <f t="shared" si="12"/>
        <v>373.75999999999993</v>
      </c>
      <c r="CC17" s="47"/>
      <c r="CD17" s="57">
        <v>33</v>
      </c>
      <c r="CE17" s="47"/>
      <c r="CF17" s="47">
        <f t="shared" si="13"/>
        <v>406.75999999999993</v>
      </c>
    </row>
    <row r="18" spans="1:84" ht="14.25" customHeight="1">
      <c r="A18" s="47">
        <v>11</v>
      </c>
      <c r="B18" s="47" t="s">
        <v>129</v>
      </c>
      <c r="C18" s="48">
        <v>117001</v>
      </c>
      <c r="D18" s="49" t="s">
        <v>142</v>
      </c>
      <c r="E18" s="49" t="s">
        <v>143</v>
      </c>
      <c r="F18" s="50">
        <f t="shared" si="14"/>
        <v>7</v>
      </c>
      <c r="G18" s="50">
        <v>4</v>
      </c>
      <c r="H18" s="50"/>
      <c r="I18" s="50">
        <v>2</v>
      </c>
      <c r="J18" s="50">
        <v>1</v>
      </c>
      <c r="K18" s="50"/>
      <c r="L18" s="50"/>
      <c r="M18" s="50"/>
      <c r="N18" s="50">
        <v>4</v>
      </c>
      <c r="O18" s="50">
        <f t="shared" si="15"/>
        <v>11</v>
      </c>
      <c r="P18" s="51">
        <f t="shared" si="0"/>
        <v>158.5718</v>
      </c>
      <c r="Q18" s="51">
        <f t="shared" si="1"/>
        <v>79.423799999999986</v>
      </c>
      <c r="R18" s="47">
        <f t="shared" si="16"/>
        <v>23720</v>
      </c>
      <c r="S18" s="52">
        <v>15522</v>
      </c>
      <c r="T18" s="47">
        <v>8198</v>
      </c>
      <c r="U18" s="47">
        <f t="shared" si="17"/>
        <v>28.463999999999999</v>
      </c>
      <c r="V18" s="51">
        <f t="shared" si="2"/>
        <v>9</v>
      </c>
      <c r="W18" s="47">
        <f t="shared" si="18"/>
        <v>9</v>
      </c>
      <c r="X18" s="47"/>
      <c r="Y18" s="47"/>
      <c r="Z18" s="47"/>
      <c r="AA18" s="47"/>
      <c r="AB18" s="51">
        <f t="shared" si="19"/>
        <v>13.4802</v>
      </c>
      <c r="AC18" s="47">
        <f t="shared" si="20"/>
        <v>1.5522</v>
      </c>
      <c r="AD18" s="47"/>
      <c r="AE18" s="47"/>
      <c r="AF18" s="47">
        <f t="shared" si="21"/>
        <v>11.928000000000001</v>
      </c>
      <c r="AG18" s="47">
        <v>9940</v>
      </c>
      <c r="AH18" s="47"/>
      <c r="AI18" s="47">
        <f t="shared" si="22"/>
        <v>7.77</v>
      </c>
      <c r="AJ18" s="53">
        <f t="shared" si="23"/>
        <v>9.3942999999999994</v>
      </c>
      <c r="AK18" s="53">
        <f t="shared" si="24"/>
        <v>93943</v>
      </c>
      <c r="AL18" s="47"/>
      <c r="AM18" s="47">
        <f t="shared" si="3"/>
        <v>3.8748999999999998</v>
      </c>
      <c r="AN18" s="47">
        <f t="shared" si="4"/>
        <v>3.6486999999999998</v>
      </c>
      <c r="AO18" s="47">
        <f t="shared" si="25"/>
        <v>36487</v>
      </c>
      <c r="AP18" s="47">
        <f t="shared" si="5"/>
        <v>0.22620000000000001</v>
      </c>
      <c r="AQ18" s="47">
        <f t="shared" si="26"/>
        <v>2262</v>
      </c>
      <c r="AR18" s="47"/>
      <c r="AS18" s="47">
        <f t="shared" si="27"/>
        <v>0.3947</v>
      </c>
      <c r="AT18" s="47">
        <f t="shared" si="6"/>
        <v>0.27139999999999997</v>
      </c>
      <c r="AU18" s="47">
        <f t="shared" si="28"/>
        <v>2713.9999999999995</v>
      </c>
      <c r="AV18" s="47">
        <f t="shared" si="7"/>
        <v>0.12330000000000001</v>
      </c>
      <c r="AW18" s="47">
        <f t="shared" si="29"/>
        <v>1233</v>
      </c>
      <c r="AX18" s="47">
        <f t="shared" si="8"/>
        <v>7.0457000000000001</v>
      </c>
      <c r="AY18" s="47"/>
      <c r="AZ18" s="47"/>
      <c r="BA18" s="54">
        <v>1E-4</v>
      </c>
      <c r="BB18" s="55" t="s">
        <v>142</v>
      </c>
      <c r="BC18" s="51">
        <f t="shared" si="30"/>
        <v>77.147999999999996</v>
      </c>
      <c r="BD18" s="47">
        <f t="shared" si="9"/>
        <v>7.68</v>
      </c>
      <c r="BE18" s="47">
        <f t="shared" si="31"/>
        <v>3.468</v>
      </c>
      <c r="BF18" s="47">
        <v>2890</v>
      </c>
      <c r="BG18" s="56">
        <v>66</v>
      </c>
      <c r="BH18" s="47"/>
      <c r="BI18" s="51">
        <f t="shared" si="10"/>
        <v>2</v>
      </c>
      <c r="BJ18" s="51">
        <f t="shared" si="11"/>
        <v>0</v>
      </c>
      <c r="BK18" s="47"/>
      <c r="BL18" s="47"/>
      <c r="BM18" s="47"/>
      <c r="BN18" s="47"/>
      <c r="BO18" s="47"/>
      <c r="BP18" s="47"/>
      <c r="BQ18" s="47"/>
      <c r="BR18" s="47"/>
      <c r="BS18" s="53"/>
      <c r="BT18" s="47"/>
      <c r="BU18" s="47"/>
      <c r="BV18" s="47"/>
      <c r="BW18" s="47">
        <v>2</v>
      </c>
      <c r="BX18" s="47"/>
      <c r="BY18" s="47"/>
      <c r="BZ18" s="47"/>
      <c r="CA18" s="47"/>
      <c r="CB18" s="54">
        <f t="shared" si="12"/>
        <v>158.5718</v>
      </c>
      <c r="CC18" s="47"/>
      <c r="CD18" s="57"/>
      <c r="CE18" s="47"/>
      <c r="CF18" s="47">
        <f t="shared" si="13"/>
        <v>158.5718</v>
      </c>
    </row>
    <row r="19" spans="1:84" ht="14.25" customHeight="1">
      <c r="A19" s="47">
        <v>12</v>
      </c>
      <c r="B19" s="47" t="s">
        <v>129</v>
      </c>
      <c r="C19" s="48">
        <v>116001</v>
      </c>
      <c r="D19" s="49" t="s">
        <v>144</v>
      </c>
      <c r="E19" s="49" t="s">
        <v>143</v>
      </c>
      <c r="F19" s="50">
        <f t="shared" si="14"/>
        <v>3</v>
      </c>
      <c r="G19" s="50">
        <v>3</v>
      </c>
      <c r="H19" s="50"/>
      <c r="I19" s="50"/>
      <c r="J19" s="50"/>
      <c r="K19" s="50"/>
      <c r="L19" s="50"/>
      <c r="M19" s="50"/>
      <c r="N19" s="50"/>
      <c r="O19" s="50">
        <f t="shared" si="15"/>
        <v>3</v>
      </c>
      <c r="P19" s="51">
        <f t="shared" si="0"/>
        <v>75.283900000000003</v>
      </c>
      <c r="Q19" s="51">
        <f t="shared" si="1"/>
        <v>38.4039</v>
      </c>
      <c r="R19" s="47">
        <f t="shared" si="16"/>
        <v>12392</v>
      </c>
      <c r="S19" s="52">
        <v>12392</v>
      </c>
      <c r="T19" s="47">
        <v>0</v>
      </c>
      <c r="U19" s="47">
        <f t="shared" si="17"/>
        <v>14.8704</v>
      </c>
      <c r="V19" s="51">
        <f t="shared" si="2"/>
        <v>6.75</v>
      </c>
      <c r="W19" s="47">
        <f t="shared" si="18"/>
        <v>6.75</v>
      </c>
      <c r="X19" s="47"/>
      <c r="Y19" s="47"/>
      <c r="Z19" s="47"/>
      <c r="AA19" s="47"/>
      <c r="AB19" s="51">
        <f t="shared" si="19"/>
        <v>6.8456000000000001</v>
      </c>
      <c r="AC19" s="47">
        <f t="shared" si="20"/>
        <v>1.2392000000000001</v>
      </c>
      <c r="AD19" s="47"/>
      <c r="AE19" s="47"/>
      <c r="AF19" s="47">
        <f t="shared" si="21"/>
        <v>5.6063999999999998</v>
      </c>
      <c r="AG19" s="47">
        <v>4672</v>
      </c>
      <c r="AH19" s="47"/>
      <c r="AI19" s="47">
        <f t="shared" si="22"/>
        <v>0</v>
      </c>
      <c r="AJ19" s="53">
        <f t="shared" si="23"/>
        <v>4.5545999999999998</v>
      </c>
      <c r="AK19" s="53">
        <f t="shared" si="24"/>
        <v>45546</v>
      </c>
      <c r="AL19" s="47"/>
      <c r="AM19" s="47">
        <f t="shared" si="3"/>
        <v>1.8376999999999999</v>
      </c>
      <c r="AN19" s="47">
        <f t="shared" si="4"/>
        <v>1.7296</v>
      </c>
      <c r="AO19" s="47">
        <f t="shared" si="25"/>
        <v>17296</v>
      </c>
      <c r="AP19" s="47">
        <f t="shared" si="5"/>
        <v>0.1081</v>
      </c>
      <c r="AQ19" s="47">
        <f t="shared" si="26"/>
        <v>1081</v>
      </c>
      <c r="AR19" s="47"/>
      <c r="AS19" s="47">
        <f t="shared" si="27"/>
        <v>0.12970000000000001</v>
      </c>
      <c r="AT19" s="47">
        <f t="shared" si="6"/>
        <v>0.12970000000000001</v>
      </c>
      <c r="AU19" s="47">
        <f t="shared" si="28"/>
        <v>1297</v>
      </c>
      <c r="AV19" s="47">
        <f t="shared" si="7"/>
        <v>0</v>
      </c>
      <c r="AW19" s="47">
        <f t="shared" si="29"/>
        <v>0</v>
      </c>
      <c r="AX19" s="47">
        <f t="shared" si="8"/>
        <v>3.4159000000000002</v>
      </c>
      <c r="AY19" s="47"/>
      <c r="AZ19" s="47"/>
      <c r="BA19" s="54">
        <v>1E-4</v>
      </c>
      <c r="BB19" s="55" t="s">
        <v>144</v>
      </c>
      <c r="BC19" s="51">
        <f t="shared" si="30"/>
        <v>31.88</v>
      </c>
      <c r="BD19" s="47">
        <f t="shared" si="9"/>
        <v>3.5999999999999996</v>
      </c>
      <c r="BE19" s="47">
        <f t="shared" si="31"/>
        <v>2.2799999999999998</v>
      </c>
      <c r="BF19" s="47">
        <v>1900</v>
      </c>
      <c r="BG19" s="56">
        <v>26</v>
      </c>
      <c r="BH19" s="47"/>
      <c r="BI19" s="51">
        <f t="shared" si="10"/>
        <v>5</v>
      </c>
      <c r="BJ19" s="51">
        <f t="shared" si="11"/>
        <v>0</v>
      </c>
      <c r="BK19" s="47"/>
      <c r="BL19" s="47"/>
      <c r="BM19" s="47"/>
      <c r="BN19" s="47"/>
      <c r="BO19" s="47"/>
      <c r="BP19" s="47"/>
      <c r="BQ19" s="47"/>
      <c r="BR19" s="47"/>
      <c r="BS19" s="53"/>
      <c r="BT19" s="47"/>
      <c r="BU19" s="47"/>
      <c r="BV19" s="47"/>
      <c r="BW19" s="47">
        <v>5</v>
      </c>
      <c r="BX19" s="47"/>
      <c r="BY19" s="47"/>
      <c r="BZ19" s="47"/>
      <c r="CA19" s="47"/>
      <c r="CB19" s="54">
        <f t="shared" si="12"/>
        <v>75.283900000000003</v>
      </c>
      <c r="CC19" s="47"/>
      <c r="CD19" s="57"/>
      <c r="CE19" s="47"/>
      <c r="CF19" s="47">
        <f t="shared" si="13"/>
        <v>75.283900000000003</v>
      </c>
    </row>
    <row r="20" spans="1:84" ht="14.25" customHeight="1">
      <c r="A20" s="47">
        <v>13</v>
      </c>
      <c r="B20" s="47" t="s">
        <v>129</v>
      </c>
      <c r="C20" s="48">
        <v>115001</v>
      </c>
      <c r="D20" s="49" t="s">
        <v>145</v>
      </c>
      <c r="E20" s="49" t="s">
        <v>131</v>
      </c>
      <c r="F20" s="50">
        <f t="shared" si="14"/>
        <v>10</v>
      </c>
      <c r="G20" s="50">
        <v>6</v>
      </c>
      <c r="H20" s="50">
        <v>1</v>
      </c>
      <c r="I20" s="50">
        <v>3</v>
      </c>
      <c r="J20" s="50"/>
      <c r="K20" s="50"/>
      <c r="L20" s="50"/>
      <c r="M20" s="50"/>
      <c r="N20" s="50">
        <v>4</v>
      </c>
      <c r="O20" s="50">
        <f t="shared" si="15"/>
        <v>14</v>
      </c>
      <c r="P20" s="51">
        <f t="shared" si="0"/>
        <v>207.03219999999999</v>
      </c>
      <c r="Q20" s="51">
        <f t="shared" si="1"/>
        <v>113.79220000000001</v>
      </c>
      <c r="R20" s="47">
        <f t="shared" si="16"/>
        <v>34544</v>
      </c>
      <c r="S20" s="52">
        <v>26023</v>
      </c>
      <c r="T20" s="47">
        <v>8521</v>
      </c>
      <c r="U20" s="47">
        <f t="shared" si="17"/>
        <v>41.452800000000003</v>
      </c>
      <c r="V20" s="51">
        <f t="shared" si="2"/>
        <v>15.75</v>
      </c>
      <c r="W20" s="47">
        <f t="shared" si="18"/>
        <v>15.75</v>
      </c>
      <c r="X20" s="47"/>
      <c r="Y20" s="47"/>
      <c r="Z20" s="47"/>
      <c r="AA20" s="47"/>
      <c r="AB20" s="51">
        <f t="shared" si="19"/>
        <v>19.186299999999999</v>
      </c>
      <c r="AC20" s="47">
        <f t="shared" si="20"/>
        <v>2.6023000000000001</v>
      </c>
      <c r="AD20" s="47"/>
      <c r="AE20" s="47"/>
      <c r="AF20" s="47">
        <f t="shared" si="21"/>
        <v>16.584</v>
      </c>
      <c r="AG20" s="47">
        <v>13820</v>
      </c>
      <c r="AH20" s="47"/>
      <c r="AI20" s="47">
        <f t="shared" si="22"/>
        <v>7.77</v>
      </c>
      <c r="AJ20" s="53">
        <f t="shared" si="23"/>
        <v>13.4655</v>
      </c>
      <c r="AK20" s="53">
        <f t="shared" si="24"/>
        <v>134655</v>
      </c>
      <c r="AL20" s="47"/>
      <c r="AM20" s="47">
        <f t="shared" si="3"/>
        <v>5.5526999999999997</v>
      </c>
      <c r="AN20" s="47">
        <f t="shared" si="4"/>
        <v>5.2278000000000002</v>
      </c>
      <c r="AO20" s="47">
        <f t="shared" si="25"/>
        <v>52278</v>
      </c>
      <c r="AP20" s="47">
        <f t="shared" si="5"/>
        <v>0.32490000000000002</v>
      </c>
      <c r="AQ20" s="47">
        <f t="shared" si="26"/>
        <v>3249</v>
      </c>
      <c r="AR20" s="47"/>
      <c r="AS20" s="47">
        <f t="shared" si="27"/>
        <v>0.51580000000000004</v>
      </c>
      <c r="AT20" s="47">
        <f t="shared" si="6"/>
        <v>0.38979999999999998</v>
      </c>
      <c r="AU20" s="47">
        <f t="shared" si="28"/>
        <v>3898</v>
      </c>
      <c r="AV20" s="47">
        <f t="shared" si="7"/>
        <v>0.126</v>
      </c>
      <c r="AW20" s="47">
        <f t="shared" si="29"/>
        <v>1260</v>
      </c>
      <c r="AX20" s="47">
        <f t="shared" si="8"/>
        <v>10.0991</v>
      </c>
      <c r="AY20" s="47"/>
      <c r="AZ20" s="47"/>
      <c r="BA20" s="54">
        <v>1E-4</v>
      </c>
      <c r="BB20" s="55" t="s">
        <v>145</v>
      </c>
      <c r="BC20" s="51">
        <f t="shared" si="30"/>
        <v>91.32</v>
      </c>
      <c r="BD20" s="47">
        <f t="shared" si="9"/>
        <v>11.280000000000001</v>
      </c>
      <c r="BE20" s="47">
        <f t="shared" si="31"/>
        <v>5.04</v>
      </c>
      <c r="BF20" s="47">
        <v>4200</v>
      </c>
      <c r="BG20" s="56">
        <v>75</v>
      </c>
      <c r="BH20" s="47"/>
      <c r="BI20" s="51">
        <f t="shared" si="10"/>
        <v>1.92</v>
      </c>
      <c r="BJ20" s="51">
        <f t="shared" si="11"/>
        <v>0</v>
      </c>
      <c r="BK20" s="47"/>
      <c r="BL20" s="47"/>
      <c r="BM20" s="47"/>
      <c r="BN20" s="47"/>
      <c r="BO20" s="47"/>
      <c r="BP20" s="47">
        <v>1.92</v>
      </c>
      <c r="BQ20" s="47"/>
      <c r="BR20" s="47"/>
      <c r="BS20" s="53"/>
      <c r="BT20" s="47"/>
      <c r="BU20" s="47"/>
      <c r="BV20" s="47"/>
      <c r="BW20" s="47"/>
      <c r="BX20" s="47">
        <v>13.75</v>
      </c>
      <c r="BY20" s="47"/>
      <c r="BZ20" s="47"/>
      <c r="CA20" s="47"/>
      <c r="CB20" s="54">
        <f t="shared" si="12"/>
        <v>220.78219999999999</v>
      </c>
      <c r="CC20" s="47"/>
      <c r="CD20" s="57"/>
      <c r="CE20" s="47"/>
      <c r="CF20" s="47">
        <f t="shared" si="13"/>
        <v>220.78219999999999</v>
      </c>
    </row>
    <row r="21" spans="1:84" ht="14.25" customHeight="1">
      <c r="A21" s="47">
        <v>14</v>
      </c>
      <c r="B21" s="47" t="s">
        <v>129</v>
      </c>
      <c r="C21" s="48">
        <v>120001</v>
      </c>
      <c r="D21" s="49" t="s">
        <v>146</v>
      </c>
      <c r="E21" s="49" t="s">
        <v>143</v>
      </c>
      <c r="F21" s="50">
        <f t="shared" si="14"/>
        <v>3</v>
      </c>
      <c r="G21" s="50">
        <v>3</v>
      </c>
      <c r="H21" s="50"/>
      <c r="I21" s="50"/>
      <c r="J21" s="50"/>
      <c r="K21" s="50"/>
      <c r="L21" s="50"/>
      <c r="M21" s="50"/>
      <c r="N21" s="50">
        <v>1</v>
      </c>
      <c r="O21" s="50">
        <f t="shared" si="15"/>
        <v>4</v>
      </c>
      <c r="P21" s="51">
        <f t="shared" si="0"/>
        <v>80.198999999999998</v>
      </c>
      <c r="Q21" s="51">
        <f t="shared" si="1"/>
        <v>36.319000000000003</v>
      </c>
      <c r="R21" s="47">
        <f t="shared" si="16"/>
        <v>11212</v>
      </c>
      <c r="S21" s="52">
        <v>11212</v>
      </c>
      <c r="T21" s="47"/>
      <c r="U21" s="47">
        <f t="shared" si="17"/>
        <v>13.4544</v>
      </c>
      <c r="V21" s="51">
        <f t="shared" si="2"/>
        <v>6.75</v>
      </c>
      <c r="W21" s="47">
        <f t="shared" si="18"/>
        <v>6.75</v>
      </c>
      <c r="X21" s="47"/>
      <c r="Y21" s="47"/>
      <c r="Z21" s="47"/>
      <c r="AA21" s="47"/>
      <c r="AB21" s="51">
        <f t="shared" si="19"/>
        <v>6.7275999999999998</v>
      </c>
      <c r="AC21" s="47">
        <f t="shared" si="20"/>
        <v>1.1212</v>
      </c>
      <c r="AD21" s="47"/>
      <c r="AE21" s="47"/>
      <c r="AF21" s="47">
        <f t="shared" si="21"/>
        <v>5.6063999999999998</v>
      </c>
      <c r="AG21" s="47">
        <v>4672</v>
      </c>
      <c r="AH21" s="47"/>
      <c r="AI21" s="47">
        <f t="shared" si="22"/>
        <v>0</v>
      </c>
      <c r="AJ21" s="53">
        <f t="shared" si="23"/>
        <v>4.3090999999999999</v>
      </c>
      <c r="AK21" s="53">
        <f t="shared" si="24"/>
        <v>43091</v>
      </c>
      <c r="AL21" s="47"/>
      <c r="AM21" s="47">
        <f t="shared" si="3"/>
        <v>1.7249000000000001</v>
      </c>
      <c r="AN21" s="47">
        <f t="shared" si="4"/>
        <v>1.6238999999999999</v>
      </c>
      <c r="AO21" s="47">
        <f t="shared" si="25"/>
        <v>16238.999999999998</v>
      </c>
      <c r="AP21" s="47">
        <f t="shared" si="5"/>
        <v>0.10100000000000001</v>
      </c>
      <c r="AQ21" s="47">
        <f t="shared" si="26"/>
        <v>1010.0000000000001</v>
      </c>
      <c r="AR21" s="47"/>
      <c r="AS21" s="47">
        <f t="shared" si="27"/>
        <v>0.1212</v>
      </c>
      <c r="AT21" s="47">
        <f t="shared" si="6"/>
        <v>0.1212</v>
      </c>
      <c r="AU21" s="47">
        <f t="shared" si="28"/>
        <v>1212</v>
      </c>
      <c r="AV21" s="47">
        <f t="shared" si="7"/>
        <v>0</v>
      </c>
      <c r="AW21" s="47">
        <f t="shared" si="29"/>
        <v>0</v>
      </c>
      <c r="AX21" s="47">
        <f t="shared" si="8"/>
        <v>3.2317999999999998</v>
      </c>
      <c r="AY21" s="47"/>
      <c r="AZ21" s="47"/>
      <c r="BA21" s="54">
        <v>1E-4</v>
      </c>
      <c r="BB21" s="55" t="s">
        <v>146</v>
      </c>
      <c r="BC21" s="51">
        <f t="shared" si="30"/>
        <v>43.879999999999995</v>
      </c>
      <c r="BD21" s="47">
        <f t="shared" si="9"/>
        <v>3.5999999999999996</v>
      </c>
      <c r="BE21" s="47">
        <f t="shared" si="31"/>
        <v>2.2799999999999998</v>
      </c>
      <c r="BF21" s="47">
        <v>1900</v>
      </c>
      <c r="BG21" s="56">
        <f>23+15</f>
        <v>38</v>
      </c>
      <c r="BH21" s="47"/>
      <c r="BI21" s="51">
        <f t="shared" si="10"/>
        <v>0</v>
      </c>
      <c r="BJ21" s="51">
        <f t="shared" si="11"/>
        <v>0</v>
      </c>
      <c r="BK21" s="47"/>
      <c r="BL21" s="47"/>
      <c r="BM21" s="47"/>
      <c r="BN21" s="47"/>
      <c r="BO21" s="47"/>
      <c r="BP21" s="47"/>
      <c r="BQ21" s="47"/>
      <c r="BR21" s="47"/>
      <c r="BS21" s="53"/>
      <c r="BT21" s="47"/>
      <c r="BU21" s="47"/>
      <c r="BV21" s="47"/>
      <c r="BW21" s="47"/>
      <c r="BX21" s="47">
        <v>11</v>
      </c>
      <c r="BY21" s="47"/>
      <c r="BZ21" s="47"/>
      <c r="CA21" s="47"/>
      <c r="CB21" s="54">
        <f t="shared" si="12"/>
        <v>91.198999999999998</v>
      </c>
      <c r="CC21" s="47"/>
      <c r="CD21" s="57"/>
      <c r="CE21" s="47"/>
      <c r="CF21" s="47">
        <f t="shared" si="13"/>
        <v>91.198999999999998</v>
      </c>
    </row>
    <row r="22" spans="1:84" ht="14.25" customHeight="1">
      <c r="A22" s="47">
        <v>15</v>
      </c>
      <c r="B22" s="47" t="s">
        <v>129</v>
      </c>
      <c r="C22" s="48">
        <v>119001</v>
      </c>
      <c r="D22" s="49" t="s">
        <v>147</v>
      </c>
      <c r="E22" s="49" t="s">
        <v>143</v>
      </c>
      <c r="F22" s="50">
        <f t="shared" si="14"/>
        <v>4</v>
      </c>
      <c r="G22" s="50">
        <v>4</v>
      </c>
      <c r="H22" s="50"/>
      <c r="I22" s="50"/>
      <c r="J22" s="50"/>
      <c r="K22" s="50"/>
      <c r="L22" s="50"/>
      <c r="M22" s="50"/>
      <c r="N22" s="50"/>
      <c r="O22" s="50">
        <f t="shared" si="15"/>
        <v>4</v>
      </c>
      <c r="P22" s="51">
        <f t="shared" si="0"/>
        <v>64.834000000000003</v>
      </c>
      <c r="Q22" s="51">
        <f t="shared" si="1"/>
        <v>39.934000000000005</v>
      </c>
      <c r="R22" s="47">
        <f t="shared" si="16"/>
        <v>10772</v>
      </c>
      <c r="S22" s="52">
        <v>10772</v>
      </c>
      <c r="T22" s="47">
        <v>0</v>
      </c>
      <c r="U22" s="47">
        <f t="shared" si="17"/>
        <v>12.926399999999999</v>
      </c>
      <c r="V22" s="51">
        <f t="shared" si="2"/>
        <v>9</v>
      </c>
      <c r="W22" s="47">
        <f t="shared" si="18"/>
        <v>9</v>
      </c>
      <c r="X22" s="47"/>
      <c r="Y22" s="47"/>
      <c r="Z22" s="47"/>
      <c r="AA22" s="47"/>
      <c r="AB22" s="51">
        <f t="shared" si="19"/>
        <v>7.7132000000000005</v>
      </c>
      <c r="AC22" s="47">
        <f t="shared" si="20"/>
        <v>1.0771999999999999</v>
      </c>
      <c r="AD22" s="47"/>
      <c r="AE22" s="47"/>
      <c r="AF22" s="47">
        <f t="shared" si="21"/>
        <v>6.6360000000000001</v>
      </c>
      <c r="AG22" s="47">
        <v>5530</v>
      </c>
      <c r="AH22" s="47"/>
      <c r="AI22" s="47">
        <f t="shared" si="22"/>
        <v>0</v>
      </c>
      <c r="AJ22" s="53">
        <f t="shared" si="23"/>
        <v>4.7423000000000002</v>
      </c>
      <c r="AK22" s="53">
        <f t="shared" si="24"/>
        <v>47423</v>
      </c>
      <c r="AL22" s="47"/>
      <c r="AM22" s="47">
        <f t="shared" si="3"/>
        <v>1.8636999999999999</v>
      </c>
      <c r="AN22" s="47">
        <f t="shared" si="4"/>
        <v>1.7541</v>
      </c>
      <c r="AO22" s="47">
        <f t="shared" si="25"/>
        <v>17541</v>
      </c>
      <c r="AP22" s="47">
        <f t="shared" si="5"/>
        <v>0.1096</v>
      </c>
      <c r="AQ22" s="47">
        <f t="shared" si="26"/>
        <v>1096</v>
      </c>
      <c r="AR22" s="47"/>
      <c r="AS22" s="47">
        <f t="shared" si="27"/>
        <v>0.13159999999999999</v>
      </c>
      <c r="AT22" s="47">
        <f t="shared" si="6"/>
        <v>0.13159999999999999</v>
      </c>
      <c r="AU22" s="47">
        <f t="shared" si="28"/>
        <v>1316</v>
      </c>
      <c r="AV22" s="47">
        <f t="shared" si="7"/>
        <v>0</v>
      </c>
      <c r="AW22" s="47">
        <f t="shared" si="29"/>
        <v>0</v>
      </c>
      <c r="AX22" s="47">
        <f t="shared" si="8"/>
        <v>3.5568</v>
      </c>
      <c r="AY22" s="47"/>
      <c r="AZ22" s="47"/>
      <c r="BA22" s="54">
        <v>1E-4</v>
      </c>
      <c r="BB22" s="55" t="s">
        <v>147</v>
      </c>
      <c r="BC22" s="51">
        <f t="shared" si="30"/>
        <v>24.9</v>
      </c>
      <c r="BD22" s="47">
        <f t="shared" si="9"/>
        <v>4.8</v>
      </c>
      <c r="BE22" s="47">
        <f t="shared" si="31"/>
        <v>2.1</v>
      </c>
      <c r="BF22" s="47">
        <v>1750</v>
      </c>
      <c r="BG22" s="56">
        <v>18</v>
      </c>
      <c r="BH22" s="47"/>
      <c r="BI22" s="51">
        <f t="shared" si="10"/>
        <v>0</v>
      </c>
      <c r="BJ22" s="51">
        <f t="shared" si="11"/>
        <v>0</v>
      </c>
      <c r="BK22" s="47"/>
      <c r="BL22" s="47"/>
      <c r="BM22" s="47"/>
      <c r="BN22" s="47"/>
      <c r="BO22" s="47"/>
      <c r="BP22" s="47"/>
      <c r="BQ22" s="47"/>
      <c r="BR22" s="47"/>
      <c r="BS22" s="53"/>
      <c r="BT22" s="47"/>
      <c r="BU22" s="47"/>
      <c r="BV22" s="47"/>
      <c r="BW22" s="47"/>
      <c r="BX22" s="47"/>
      <c r="BY22" s="47"/>
      <c r="BZ22" s="47"/>
      <c r="CA22" s="47"/>
      <c r="CB22" s="54">
        <f t="shared" si="12"/>
        <v>64.834000000000003</v>
      </c>
      <c r="CC22" s="47"/>
      <c r="CD22" s="57"/>
      <c r="CE22" s="47"/>
      <c r="CF22" s="47">
        <f t="shared" si="13"/>
        <v>64.834000000000003</v>
      </c>
    </row>
    <row r="23" spans="1:84" ht="14.25" customHeight="1">
      <c r="A23" s="47">
        <v>16</v>
      </c>
      <c r="B23" s="47" t="s">
        <v>129</v>
      </c>
      <c r="C23" s="48">
        <v>123001</v>
      </c>
      <c r="D23" s="49" t="s">
        <v>148</v>
      </c>
      <c r="E23" s="49" t="s">
        <v>141</v>
      </c>
      <c r="F23" s="50">
        <f t="shared" si="14"/>
        <v>5</v>
      </c>
      <c r="G23" s="50">
        <v>5</v>
      </c>
      <c r="H23" s="50"/>
      <c r="I23" s="50"/>
      <c r="J23" s="50"/>
      <c r="K23" s="50"/>
      <c r="L23" s="50"/>
      <c r="M23" s="50"/>
      <c r="N23" s="50"/>
      <c r="O23" s="50">
        <f t="shared" si="15"/>
        <v>5</v>
      </c>
      <c r="P23" s="51">
        <f t="shared" si="0"/>
        <v>97.210800000000006</v>
      </c>
      <c r="Q23" s="51">
        <f t="shared" si="1"/>
        <v>59.210800000000006</v>
      </c>
      <c r="R23" s="47">
        <f t="shared" si="16"/>
        <v>18366</v>
      </c>
      <c r="S23" s="52">
        <v>18366</v>
      </c>
      <c r="T23" s="47">
        <v>0</v>
      </c>
      <c r="U23" s="47">
        <f t="shared" si="17"/>
        <v>22.039200000000001</v>
      </c>
      <c r="V23" s="51">
        <f t="shared" si="2"/>
        <v>11.25</v>
      </c>
      <c r="W23" s="47">
        <f t="shared" si="18"/>
        <v>11.25</v>
      </c>
      <c r="X23" s="47"/>
      <c r="Y23" s="47"/>
      <c r="Z23" s="47"/>
      <c r="AA23" s="47"/>
      <c r="AB23" s="51">
        <f t="shared" si="19"/>
        <v>10.602600000000001</v>
      </c>
      <c r="AC23" s="47">
        <f t="shared" si="20"/>
        <v>1.8366</v>
      </c>
      <c r="AD23" s="47"/>
      <c r="AE23" s="47"/>
      <c r="AF23" s="47">
        <f t="shared" si="21"/>
        <v>8.766</v>
      </c>
      <c r="AG23" s="47">
        <v>7305</v>
      </c>
      <c r="AH23" s="47"/>
      <c r="AI23" s="47">
        <f t="shared" si="22"/>
        <v>0</v>
      </c>
      <c r="AJ23" s="53">
        <f t="shared" si="23"/>
        <v>7.0227000000000004</v>
      </c>
      <c r="AK23" s="53">
        <f t="shared" si="24"/>
        <v>70227</v>
      </c>
      <c r="AL23" s="47"/>
      <c r="AM23" s="47">
        <f t="shared" si="3"/>
        <v>2.8296000000000001</v>
      </c>
      <c r="AN23" s="47">
        <f t="shared" si="4"/>
        <v>2.6631</v>
      </c>
      <c r="AO23" s="47">
        <f t="shared" si="25"/>
        <v>26631</v>
      </c>
      <c r="AP23" s="47">
        <f t="shared" si="5"/>
        <v>0.16639999999999999</v>
      </c>
      <c r="AQ23" s="47">
        <f t="shared" si="26"/>
        <v>1664</v>
      </c>
      <c r="AR23" s="47"/>
      <c r="AS23" s="47">
        <f t="shared" si="27"/>
        <v>0.19969999999999999</v>
      </c>
      <c r="AT23" s="47">
        <f t="shared" si="6"/>
        <v>0.19969999999999999</v>
      </c>
      <c r="AU23" s="47">
        <f t="shared" si="28"/>
        <v>1997</v>
      </c>
      <c r="AV23" s="47">
        <f t="shared" si="7"/>
        <v>0</v>
      </c>
      <c r="AW23" s="47">
        <f t="shared" si="29"/>
        <v>0</v>
      </c>
      <c r="AX23" s="47">
        <f t="shared" si="8"/>
        <v>5.2670000000000003</v>
      </c>
      <c r="AY23" s="47"/>
      <c r="AZ23" s="47"/>
      <c r="BA23" s="54">
        <v>1E-4</v>
      </c>
      <c r="BB23" s="55" t="s">
        <v>148</v>
      </c>
      <c r="BC23" s="51">
        <f t="shared" si="30"/>
        <v>35.659999999999997</v>
      </c>
      <c r="BD23" s="47">
        <f t="shared" si="9"/>
        <v>6</v>
      </c>
      <c r="BE23" s="47">
        <f t="shared" si="31"/>
        <v>3.66</v>
      </c>
      <c r="BF23" s="47">
        <v>3050</v>
      </c>
      <c r="BG23" s="56">
        <v>26</v>
      </c>
      <c r="BH23" s="47"/>
      <c r="BI23" s="51">
        <f t="shared" si="10"/>
        <v>2.34</v>
      </c>
      <c r="BJ23" s="51">
        <f t="shared" si="11"/>
        <v>0</v>
      </c>
      <c r="BK23" s="47"/>
      <c r="BL23" s="47"/>
      <c r="BM23" s="47"/>
      <c r="BN23" s="47"/>
      <c r="BO23" s="47"/>
      <c r="BP23" s="47">
        <v>2.34</v>
      </c>
      <c r="BQ23" s="47"/>
      <c r="BR23" s="47"/>
      <c r="BS23" s="53"/>
      <c r="BT23" s="47"/>
      <c r="BU23" s="47"/>
      <c r="BV23" s="47"/>
      <c r="BW23" s="47"/>
      <c r="BX23" s="47">
        <v>42</v>
      </c>
      <c r="BY23" s="47"/>
      <c r="BZ23" s="47"/>
      <c r="CA23" s="47"/>
      <c r="CB23" s="54">
        <f t="shared" si="12"/>
        <v>139.21080000000001</v>
      </c>
      <c r="CC23" s="47"/>
      <c r="CD23" s="57"/>
      <c r="CE23" s="47"/>
      <c r="CF23" s="47">
        <f t="shared" si="13"/>
        <v>139.21080000000001</v>
      </c>
    </row>
    <row r="24" spans="1:84" ht="14.25" customHeight="1">
      <c r="A24" s="47">
        <v>17</v>
      </c>
      <c r="B24" s="47" t="s">
        <v>129</v>
      </c>
      <c r="C24" s="48">
        <v>126001</v>
      </c>
      <c r="D24" s="49" t="s">
        <v>149</v>
      </c>
      <c r="E24" s="49" t="s">
        <v>150</v>
      </c>
      <c r="F24" s="50">
        <f t="shared" si="14"/>
        <v>21</v>
      </c>
      <c r="G24" s="50"/>
      <c r="H24" s="50"/>
      <c r="I24" s="50">
        <v>18</v>
      </c>
      <c r="J24" s="50">
        <v>3</v>
      </c>
      <c r="K24" s="50"/>
      <c r="L24" s="50"/>
      <c r="M24" s="50"/>
      <c r="N24" s="50">
        <v>4</v>
      </c>
      <c r="O24" s="50">
        <f t="shared" si="15"/>
        <v>25</v>
      </c>
      <c r="P24" s="51">
        <f t="shared" si="0"/>
        <v>314.19739999999996</v>
      </c>
      <c r="Q24" s="51">
        <f t="shared" si="1"/>
        <v>211.03739999999996</v>
      </c>
      <c r="R24" s="47">
        <f t="shared" si="16"/>
        <v>58872</v>
      </c>
      <c r="S24" s="52"/>
      <c r="T24" s="47">
        <v>58872</v>
      </c>
      <c r="U24" s="47">
        <f t="shared" si="17"/>
        <v>70.6464</v>
      </c>
      <c r="V24" s="51">
        <f t="shared" si="2"/>
        <v>0</v>
      </c>
      <c r="W24" s="47">
        <f t="shared" si="18"/>
        <v>0</v>
      </c>
      <c r="X24" s="47"/>
      <c r="Y24" s="47"/>
      <c r="Z24" s="47"/>
      <c r="AA24" s="47"/>
      <c r="AB24" s="51">
        <f t="shared" si="19"/>
        <v>30.24</v>
      </c>
      <c r="AC24" s="47">
        <f t="shared" si="20"/>
        <v>0</v>
      </c>
      <c r="AD24" s="47"/>
      <c r="AE24" s="47"/>
      <c r="AF24" s="47">
        <f t="shared" si="21"/>
        <v>30.24</v>
      </c>
      <c r="AG24" s="47">
        <v>25200</v>
      </c>
      <c r="AH24" s="47"/>
      <c r="AI24" s="47">
        <f t="shared" si="22"/>
        <v>54.39</v>
      </c>
      <c r="AJ24" s="53">
        <f t="shared" si="23"/>
        <v>24.844200000000001</v>
      </c>
      <c r="AK24" s="53">
        <f t="shared" si="24"/>
        <v>248442</v>
      </c>
      <c r="AL24" s="47"/>
      <c r="AM24" s="47">
        <f t="shared" si="3"/>
        <v>10.658099999999999</v>
      </c>
      <c r="AN24" s="47">
        <f t="shared" si="4"/>
        <v>10.0329</v>
      </c>
      <c r="AO24" s="47">
        <f t="shared" si="25"/>
        <v>100329</v>
      </c>
      <c r="AP24" s="47">
        <f t="shared" si="5"/>
        <v>0.62519999999999998</v>
      </c>
      <c r="AQ24" s="47">
        <f t="shared" si="26"/>
        <v>6252</v>
      </c>
      <c r="AR24" s="47"/>
      <c r="AS24" s="47">
        <f t="shared" si="27"/>
        <v>1.6254999999999999</v>
      </c>
      <c r="AT24" s="47">
        <f t="shared" si="6"/>
        <v>0.75019999999999998</v>
      </c>
      <c r="AU24" s="47">
        <f t="shared" si="28"/>
        <v>7502</v>
      </c>
      <c r="AV24" s="47">
        <f t="shared" si="7"/>
        <v>0.87529999999999997</v>
      </c>
      <c r="AW24" s="47">
        <f t="shared" si="29"/>
        <v>8753</v>
      </c>
      <c r="AX24" s="47">
        <f t="shared" si="8"/>
        <v>18.633199999999999</v>
      </c>
      <c r="AY24" s="47"/>
      <c r="AZ24" s="47"/>
      <c r="BA24" s="54">
        <v>1E-4</v>
      </c>
      <c r="BB24" s="55" t="s">
        <v>149</v>
      </c>
      <c r="BC24" s="51">
        <f t="shared" si="30"/>
        <v>103.16</v>
      </c>
      <c r="BD24" s="47">
        <f t="shared" si="9"/>
        <v>20.16</v>
      </c>
      <c r="BE24" s="47">
        <f t="shared" si="31"/>
        <v>0</v>
      </c>
      <c r="BF24" s="47"/>
      <c r="BG24" s="56">
        <v>83</v>
      </c>
      <c r="BH24" s="47"/>
      <c r="BI24" s="51">
        <f t="shared" si="10"/>
        <v>0</v>
      </c>
      <c r="BJ24" s="51">
        <f t="shared" si="11"/>
        <v>0</v>
      </c>
      <c r="BK24" s="47"/>
      <c r="BL24" s="47"/>
      <c r="BM24" s="47"/>
      <c r="BN24" s="47"/>
      <c r="BO24" s="47"/>
      <c r="BP24" s="47"/>
      <c r="BQ24" s="47"/>
      <c r="BR24" s="47"/>
      <c r="BS24" s="53"/>
      <c r="BT24" s="47"/>
      <c r="BU24" s="47"/>
      <c r="BV24" s="47"/>
      <c r="BW24" s="47"/>
      <c r="BX24" s="47">
        <v>1776</v>
      </c>
      <c r="BY24" s="47"/>
      <c r="BZ24" s="47"/>
      <c r="CA24" s="47"/>
      <c r="CB24" s="54">
        <f t="shared" si="12"/>
        <v>2090.1974</v>
      </c>
      <c r="CC24" s="47"/>
      <c r="CD24" s="57"/>
      <c r="CE24" s="47"/>
      <c r="CF24" s="47">
        <f t="shared" si="13"/>
        <v>2090.1974</v>
      </c>
    </row>
    <row r="25" spans="1:84" ht="14.25" customHeight="1">
      <c r="A25" s="47">
        <v>18</v>
      </c>
      <c r="B25" s="47" t="s">
        <v>129</v>
      </c>
      <c r="C25" s="48">
        <v>122001</v>
      </c>
      <c r="D25" s="49" t="s">
        <v>151</v>
      </c>
      <c r="E25" s="49" t="s">
        <v>131</v>
      </c>
      <c r="F25" s="50">
        <f t="shared" si="14"/>
        <v>17</v>
      </c>
      <c r="G25" s="50">
        <v>12</v>
      </c>
      <c r="H25" s="50">
        <v>1</v>
      </c>
      <c r="I25" s="50">
        <v>2</v>
      </c>
      <c r="J25" s="50">
        <v>2</v>
      </c>
      <c r="K25" s="50"/>
      <c r="L25" s="50"/>
      <c r="M25" s="50"/>
      <c r="N25" s="50">
        <v>3</v>
      </c>
      <c r="O25" s="50">
        <f t="shared" si="15"/>
        <v>20</v>
      </c>
      <c r="P25" s="51">
        <f t="shared" si="0"/>
        <v>230.02510000000001</v>
      </c>
      <c r="Q25" s="51">
        <f t="shared" si="1"/>
        <v>197.92910000000001</v>
      </c>
      <c r="R25" s="47">
        <f t="shared" si="16"/>
        <v>58557</v>
      </c>
      <c r="S25" s="52">
        <v>47593</v>
      </c>
      <c r="T25" s="47">
        <v>10964</v>
      </c>
      <c r="U25" s="47">
        <f t="shared" si="17"/>
        <v>70.2684</v>
      </c>
      <c r="V25" s="51">
        <f t="shared" si="2"/>
        <v>34.043999999999997</v>
      </c>
      <c r="W25" s="47">
        <f t="shared" si="18"/>
        <v>29.25</v>
      </c>
      <c r="X25" s="47"/>
      <c r="Y25" s="47"/>
      <c r="Z25" s="47"/>
      <c r="AA25" s="47">
        <v>4.7939999999999996</v>
      </c>
      <c r="AB25" s="51">
        <f t="shared" si="19"/>
        <v>33.0505</v>
      </c>
      <c r="AC25" s="47">
        <f t="shared" si="20"/>
        <v>4.7592999999999996</v>
      </c>
      <c r="AD25" s="47"/>
      <c r="AE25" s="47"/>
      <c r="AF25" s="47">
        <f t="shared" si="21"/>
        <v>28.2912</v>
      </c>
      <c r="AG25" s="47">
        <v>23576</v>
      </c>
      <c r="AH25" s="47"/>
      <c r="AI25" s="47">
        <f t="shared" si="22"/>
        <v>10.36</v>
      </c>
      <c r="AJ25" s="53">
        <f t="shared" si="23"/>
        <v>22.868600000000001</v>
      </c>
      <c r="AK25" s="53">
        <f t="shared" si="24"/>
        <v>228686</v>
      </c>
      <c r="AL25" s="47"/>
      <c r="AM25" s="47">
        <f t="shared" si="3"/>
        <v>9.3621999999999996</v>
      </c>
      <c r="AN25" s="47">
        <f t="shared" si="4"/>
        <v>8.8127999999999993</v>
      </c>
      <c r="AO25" s="47">
        <f t="shared" si="25"/>
        <v>88128</v>
      </c>
      <c r="AP25" s="47">
        <f t="shared" si="5"/>
        <v>0.5494</v>
      </c>
      <c r="AQ25" s="47">
        <f t="shared" si="26"/>
        <v>5494</v>
      </c>
      <c r="AR25" s="47"/>
      <c r="AS25" s="47">
        <f t="shared" si="27"/>
        <v>0.82389999999999997</v>
      </c>
      <c r="AT25" s="47">
        <f t="shared" si="6"/>
        <v>0.6593</v>
      </c>
      <c r="AU25" s="47">
        <f t="shared" si="28"/>
        <v>6593</v>
      </c>
      <c r="AV25" s="47">
        <f t="shared" si="7"/>
        <v>0.1646</v>
      </c>
      <c r="AW25" s="47">
        <f t="shared" si="29"/>
        <v>1646</v>
      </c>
      <c r="AX25" s="47">
        <f t="shared" si="8"/>
        <v>17.151499999999999</v>
      </c>
      <c r="AY25" s="47"/>
      <c r="AZ25" s="47"/>
      <c r="BA25" s="54">
        <v>1E-4</v>
      </c>
      <c r="BB25" s="55" t="s">
        <v>151</v>
      </c>
      <c r="BC25" s="51">
        <f t="shared" si="30"/>
        <v>31.267999999999997</v>
      </c>
      <c r="BD25" s="47">
        <f t="shared" si="9"/>
        <v>19.439999999999998</v>
      </c>
      <c r="BE25" s="47">
        <f t="shared" si="31"/>
        <v>9.8279999999999994</v>
      </c>
      <c r="BF25" s="47">
        <v>8190</v>
      </c>
      <c r="BG25" s="56">
        <v>2</v>
      </c>
      <c r="BH25" s="47"/>
      <c r="BI25" s="51">
        <f t="shared" si="10"/>
        <v>0.82799999999999996</v>
      </c>
      <c r="BJ25" s="51">
        <f t="shared" si="11"/>
        <v>0</v>
      </c>
      <c r="BK25" s="47"/>
      <c r="BL25" s="47"/>
      <c r="BM25" s="47"/>
      <c r="BN25" s="47"/>
      <c r="BO25" s="47"/>
      <c r="BP25" s="47">
        <v>0.82799999999999996</v>
      </c>
      <c r="BQ25" s="47"/>
      <c r="BR25" s="47"/>
      <c r="BS25" s="53"/>
      <c r="BT25" s="47"/>
      <c r="BU25" s="47"/>
      <c r="BV25" s="47"/>
      <c r="BW25" s="47"/>
      <c r="BX25" s="47"/>
      <c r="BY25" s="47"/>
      <c r="BZ25" s="47">
        <v>10</v>
      </c>
      <c r="CA25" s="47"/>
      <c r="CB25" s="54">
        <f t="shared" si="12"/>
        <v>240.02510000000001</v>
      </c>
      <c r="CC25" s="47"/>
      <c r="CD25" s="57"/>
      <c r="CE25" s="47"/>
      <c r="CF25" s="47">
        <f t="shared" si="13"/>
        <v>240.02510000000001</v>
      </c>
    </row>
    <row r="26" spans="1:84" ht="14.25" customHeight="1">
      <c r="A26" s="47">
        <v>19</v>
      </c>
      <c r="B26" s="47" t="s">
        <v>129</v>
      </c>
      <c r="C26" s="48">
        <v>124001</v>
      </c>
      <c r="D26" s="49" t="s">
        <v>152</v>
      </c>
      <c r="E26" s="49" t="s">
        <v>131</v>
      </c>
      <c r="F26" s="50">
        <f t="shared" si="14"/>
        <v>18</v>
      </c>
      <c r="G26" s="50">
        <v>13</v>
      </c>
      <c r="H26" s="50">
        <v>4</v>
      </c>
      <c r="I26" s="50">
        <v>1</v>
      </c>
      <c r="J26" s="50"/>
      <c r="K26" s="50"/>
      <c r="L26" s="50"/>
      <c r="M26" s="50"/>
      <c r="N26" s="50">
        <v>3</v>
      </c>
      <c r="O26" s="50">
        <f t="shared" si="15"/>
        <v>21</v>
      </c>
      <c r="P26" s="51">
        <f t="shared" si="0"/>
        <v>407.19939999999997</v>
      </c>
      <c r="Q26" s="51">
        <f t="shared" si="1"/>
        <v>256.4314</v>
      </c>
      <c r="R26" s="47">
        <f t="shared" si="16"/>
        <v>61719</v>
      </c>
      <c r="S26" s="52">
        <v>58996</v>
      </c>
      <c r="T26" s="47">
        <v>2723</v>
      </c>
      <c r="U26" s="47">
        <f t="shared" si="17"/>
        <v>74.062799999999996</v>
      </c>
      <c r="V26" s="51">
        <f t="shared" si="2"/>
        <v>38.25</v>
      </c>
      <c r="W26" s="47">
        <f t="shared" si="18"/>
        <v>38.25</v>
      </c>
      <c r="X26" s="47"/>
      <c r="Y26" s="47"/>
      <c r="Z26" s="47"/>
      <c r="AA26" s="47"/>
      <c r="AB26" s="51">
        <f t="shared" si="19"/>
        <v>36.590800000000002</v>
      </c>
      <c r="AC26" s="47">
        <f t="shared" si="20"/>
        <v>5.8996000000000004</v>
      </c>
      <c r="AD26" s="47"/>
      <c r="AE26" s="47"/>
      <c r="AF26" s="47">
        <f t="shared" si="21"/>
        <v>30.691199999999998</v>
      </c>
      <c r="AG26" s="47">
        <v>25576</v>
      </c>
      <c r="AH26" s="47"/>
      <c r="AI26" s="47">
        <f t="shared" si="22"/>
        <v>2.59</v>
      </c>
      <c r="AJ26" s="53">
        <f t="shared" si="23"/>
        <v>24.239000000000001</v>
      </c>
      <c r="AK26" s="53">
        <f t="shared" si="24"/>
        <v>242390</v>
      </c>
      <c r="AL26" s="47"/>
      <c r="AM26" s="47">
        <f t="shared" si="3"/>
        <v>9.7891999999999992</v>
      </c>
      <c r="AN26" s="47">
        <f t="shared" si="4"/>
        <v>9.2147000000000006</v>
      </c>
      <c r="AO26" s="47">
        <f t="shared" si="25"/>
        <v>92147</v>
      </c>
      <c r="AP26" s="47">
        <f t="shared" si="5"/>
        <v>0.57450000000000001</v>
      </c>
      <c r="AQ26" s="47">
        <f t="shared" si="26"/>
        <v>5745</v>
      </c>
      <c r="AR26" s="47"/>
      <c r="AS26" s="47">
        <f t="shared" si="27"/>
        <v>0.73040000000000005</v>
      </c>
      <c r="AT26" s="47">
        <f t="shared" si="6"/>
        <v>0.68940000000000001</v>
      </c>
      <c r="AU26" s="47">
        <f t="shared" si="28"/>
        <v>6894</v>
      </c>
      <c r="AV26" s="47">
        <f t="shared" si="7"/>
        <v>4.1000000000000002E-2</v>
      </c>
      <c r="AW26" s="47">
        <f t="shared" si="29"/>
        <v>410</v>
      </c>
      <c r="AX26" s="47">
        <f t="shared" si="8"/>
        <v>18.179200000000002</v>
      </c>
      <c r="AY26" s="47"/>
      <c r="AZ26" s="47">
        <v>52</v>
      </c>
      <c r="BA26" s="54">
        <v>1E-4</v>
      </c>
      <c r="BB26" s="55" t="s">
        <v>152</v>
      </c>
      <c r="BC26" s="51">
        <f t="shared" si="30"/>
        <v>135.768</v>
      </c>
      <c r="BD26" s="47">
        <f t="shared" si="9"/>
        <v>21.36</v>
      </c>
      <c r="BE26" s="47">
        <f t="shared" si="31"/>
        <v>12.407999999999999</v>
      </c>
      <c r="BF26" s="47">
        <v>10340</v>
      </c>
      <c r="BG26" s="56">
        <f>102</f>
        <v>102</v>
      </c>
      <c r="BH26" s="47"/>
      <c r="BI26" s="51">
        <f t="shared" si="10"/>
        <v>15</v>
      </c>
      <c r="BJ26" s="51">
        <f t="shared" si="11"/>
        <v>0</v>
      </c>
      <c r="BK26" s="47"/>
      <c r="BL26" s="47"/>
      <c r="BM26" s="47"/>
      <c r="BN26" s="47"/>
      <c r="BO26" s="47"/>
      <c r="BP26" s="47"/>
      <c r="BQ26" s="47"/>
      <c r="BR26" s="47"/>
      <c r="BS26" s="53"/>
      <c r="BT26" s="47"/>
      <c r="BU26" s="47"/>
      <c r="BV26" s="47"/>
      <c r="BW26" s="47">
        <v>15</v>
      </c>
      <c r="BX26" s="47">
        <f>174.6+1145</f>
        <v>1319.6</v>
      </c>
      <c r="BY26" s="47"/>
      <c r="BZ26" s="47"/>
      <c r="CA26" s="47"/>
      <c r="CB26" s="54">
        <f t="shared" si="12"/>
        <v>1726.7993999999999</v>
      </c>
      <c r="CC26" s="47"/>
      <c r="CD26" s="57"/>
      <c r="CE26" s="47"/>
      <c r="CF26" s="47">
        <f t="shared" si="13"/>
        <v>1726.7993999999999</v>
      </c>
    </row>
    <row r="27" spans="1:84" ht="14.25" customHeight="1">
      <c r="A27" s="47">
        <v>20</v>
      </c>
      <c r="B27" s="47" t="s">
        <v>129</v>
      </c>
      <c r="C27" s="48">
        <v>118001</v>
      </c>
      <c r="D27" s="49" t="s">
        <v>153</v>
      </c>
      <c r="E27" s="49" t="s">
        <v>131</v>
      </c>
      <c r="F27" s="50">
        <f t="shared" si="14"/>
        <v>17</v>
      </c>
      <c r="G27" s="50">
        <v>11</v>
      </c>
      <c r="H27" s="50"/>
      <c r="I27" s="50">
        <v>6</v>
      </c>
      <c r="J27" s="50"/>
      <c r="K27" s="50"/>
      <c r="L27" s="50"/>
      <c r="M27" s="50"/>
      <c r="N27" s="50">
        <v>3</v>
      </c>
      <c r="O27" s="50">
        <f t="shared" si="15"/>
        <v>20</v>
      </c>
      <c r="P27" s="51">
        <f t="shared" si="0"/>
        <v>231.89749999999998</v>
      </c>
      <c r="Q27" s="51">
        <f t="shared" si="1"/>
        <v>190.77749999999997</v>
      </c>
      <c r="R27" s="47">
        <f t="shared" si="16"/>
        <v>56918</v>
      </c>
      <c r="S27" s="52">
        <v>41891</v>
      </c>
      <c r="T27" s="47">
        <v>15027</v>
      </c>
      <c r="U27" s="47">
        <f t="shared" si="17"/>
        <v>68.301599999999993</v>
      </c>
      <c r="V27" s="51">
        <f t="shared" si="2"/>
        <v>24.75</v>
      </c>
      <c r="W27" s="47">
        <f t="shared" si="18"/>
        <v>24.75</v>
      </c>
      <c r="X27" s="47"/>
      <c r="Y27" s="47"/>
      <c r="Z27" s="47"/>
      <c r="AA27" s="47"/>
      <c r="AB27" s="51">
        <f t="shared" si="19"/>
        <v>32.5319</v>
      </c>
      <c r="AC27" s="47">
        <f t="shared" si="20"/>
        <v>4.1890999999999998</v>
      </c>
      <c r="AD27" s="47"/>
      <c r="AE27" s="47"/>
      <c r="AF27" s="47">
        <f t="shared" si="21"/>
        <v>28.3428</v>
      </c>
      <c r="AG27" s="47">
        <v>23619</v>
      </c>
      <c r="AH27" s="47"/>
      <c r="AI27" s="47">
        <f t="shared" si="22"/>
        <v>15.54</v>
      </c>
      <c r="AJ27" s="53">
        <f t="shared" si="23"/>
        <v>22.579799999999999</v>
      </c>
      <c r="AK27" s="53">
        <f t="shared" si="24"/>
        <v>225798</v>
      </c>
      <c r="AL27" s="47"/>
      <c r="AM27" s="47">
        <f t="shared" si="3"/>
        <v>9.2528000000000006</v>
      </c>
      <c r="AN27" s="47">
        <f t="shared" si="4"/>
        <v>8.7097999999999995</v>
      </c>
      <c r="AO27" s="47">
        <f t="shared" si="25"/>
        <v>87098</v>
      </c>
      <c r="AP27" s="47">
        <f t="shared" si="5"/>
        <v>0.54300000000000004</v>
      </c>
      <c r="AQ27" s="47">
        <f t="shared" si="26"/>
        <v>5430</v>
      </c>
      <c r="AR27" s="47"/>
      <c r="AS27" s="47">
        <f t="shared" si="27"/>
        <v>0.88660000000000005</v>
      </c>
      <c r="AT27" s="47">
        <f t="shared" si="6"/>
        <v>0.65149999999999997</v>
      </c>
      <c r="AU27" s="47">
        <f t="shared" si="28"/>
        <v>6515</v>
      </c>
      <c r="AV27" s="47">
        <f t="shared" si="7"/>
        <v>0.23499999999999999</v>
      </c>
      <c r="AW27" s="47">
        <f t="shared" si="29"/>
        <v>2350</v>
      </c>
      <c r="AX27" s="47">
        <f t="shared" si="8"/>
        <v>16.934799999999999</v>
      </c>
      <c r="AY27" s="47"/>
      <c r="AZ27" s="47"/>
      <c r="BA27" s="54">
        <v>1E-4</v>
      </c>
      <c r="BB27" s="55" t="s">
        <v>153</v>
      </c>
      <c r="BC27" s="51">
        <f t="shared" si="30"/>
        <v>41.120000000000005</v>
      </c>
      <c r="BD27" s="47">
        <f t="shared" si="9"/>
        <v>18.96</v>
      </c>
      <c r="BE27" s="47">
        <f t="shared" si="31"/>
        <v>8.16</v>
      </c>
      <c r="BF27" s="47">
        <v>6800</v>
      </c>
      <c r="BG27" s="56">
        <v>14</v>
      </c>
      <c r="BH27" s="47"/>
      <c r="BI27" s="51">
        <f t="shared" si="10"/>
        <v>0</v>
      </c>
      <c r="BJ27" s="51">
        <f t="shared" si="11"/>
        <v>0</v>
      </c>
      <c r="BK27" s="47"/>
      <c r="BL27" s="47"/>
      <c r="BM27" s="47"/>
      <c r="BN27" s="47"/>
      <c r="BO27" s="47"/>
      <c r="BP27" s="47"/>
      <c r="BQ27" s="47"/>
      <c r="BR27" s="47"/>
      <c r="BS27" s="53"/>
      <c r="BT27" s="47"/>
      <c r="BU27" s="47"/>
      <c r="BV27" s="47"/>
      <c r="BW27" s="47"/>
      <c r="BX27" s="47">
        <v>254</v>
      </c>
      <c r="BY27" s="47"/>
      <c r="BZ27" s="47">
        <v>9</v>
      </c>
      <c r="CA27" s="47"/>
      <c r="CB27" s="54">
        <f t="shared" si="12"/>
        <v>494.89749999999998</v>
      </c>
      <c r="CC27" s="47"/>
      <c r="CD27" s="57"/>
      <c r="CE27" s="47"/>
      <c r="CF27" s="47">
        <f t="shared" si="13"/>
        <v>494.89749999999998</v>
      </c>
    </row>
    <row r="28" spans="1:84" ht="14.25" customHeight="1">
      <c r="A28" s="47">
        <v>21</v>
      </c>
      <c r="B28" s="47" t="s">
        <v>129</v>
      </c>
      <c r="C28" s="48">
        <v>113001</v>
      </c>
      <c r="D28" s="49" t="s">
        <v>154</v>
      </c>
      <c r="E28" s="49" t="s">
        <v>131</v>
      </c>
      <c r="F28" s="50">
        <f t="shared" si="14"/>
        <v>143</v>
      </c>
      <c r="G28" s="50">
        <v>94</v>
      </c>
      <c r="H28" s="50">
        <v>8</v>
      </c>
      <c r="I28" s="50">
        <v>41</v>
      </c>
      <c r="J28" s="50"/>
      <c r="K28" s="50"/>
      <c r="L28" s="50"/>
      <c r="M28" s="50"/>
      <c r="N28" s="50">
        <v>48</v>
      </c>
      <c r="O28" s="50">
        <f t="shared" si="15"/>
        <v>191</v>
      </c>
      <c r="P28" s="51">
        <f t="shared" si="0"/>
        <v>2501.9672399999999</v>
      </c>
      <c r="Q28" s="51">
        <f t="shared" si="1"/>
        <v>1641.76964</v>
      </c>
      <c r="R28" s="47">
        <f t="shared" si="16"/>
        <v>509544.2</v>
      </c>
      <c r="S28" s="58">
        <v>385726.2</v>
      </c>
      <c r="T28" s="51">
        <v>123818</v>
      </c>
      <c r="U28" s="47">
        <f t="shared" si="17"/>
        <v>611.45303999999999</v>
      </c>
      <c r="V28" s="51">
        <f t="shared" si="2"/>
        <v>229.5</v>
      </c>
      <c r="W28" s="47">
        <f t="shared" si="18"/>
        <v>229.5</v>
      </c>
      <c r="X28" s="47"/>
      <c r="Y28" s="47"/>
      <c r="Z28" s="47"/>
      <c r="AA28" s="47"/>
      <c r="AB28" s="51">
        <f t="shared" si="19"/>
        <v>266.47899999999998</v>
      </c>
      <c r="AC28" s="47">
        <f t="shared" si="20"/>
        <v>38.572600000000001</v>
      </c>
      <c r="AD28" s="47"/>
      <c r="AE28" s="47"/>
      <c r="AF28" s="47">
        <f t="shared" si="21"/>
        <v>227.90639999999999</v>
      </c>
      <c r="AG28" s="47">
        <v>189922</v>
      </c>
      <c r="AH28" s="47"/>
      <c r="AI28" s="47">
        <f t="shared" si="22"/>
        <v>106.19</v>
      </c>
      <c r="AJ28" s="53">
        <f t="shared" si="23"/>
        <v>194.17949999999999</v>
      </c>
      <c r="AK28" s="53">
        <f t="shared" si="24"/>
        <v>1941795</v>
      </c>
      <c r="AL28" s="47"/>
      <c r="AM28" s="47">
        <f t="shared" si="3"/>
        <v>80.867199999999997</v>
      </c>
      <c r="AN28" s="47">
        <f t="shared" si="4"/>
        <v>76.131399999999999</v>
      </c>
      <c r="AO28" s="47">
        <f t="shared" si="25"/>
        <v>761314</v>
      </c>
      <c r="AP28" s="47">
        <f t="shared" si="5"/>
        <v>4.7356999999999996</v>
      </c>
      <c r="AQ28" s="47">
        <f t="shared" si="26"/>
        <v>47356.999999999993</v>
      </c>
      <c r="AR28" s="47"/>
      <c r="AS28" s="47">
        <f t="shared" si="27"/>
        <v>7.4663000000000004</v>
      </c>
      <c r="AT28" s="47">
        <f t="shared" si="6"/>
        <v>5.6829000000000001</v>
      </c>
      <c r="AU28" s="47">
        <f t="shared" si="28"/>
        <v>56829</v>
      </c>
      <c r="AV28" s="47">
        <f t="shared" si="7"/>
        <v>1.7834000000000001</v>
      </c>
      <c r="AW28" s="47">
        <f t="shared" si="29"/>
        <v>17834</v>
      </c>
      <c r="AX28" s="47">
        <f t="shared" si="8"/>
        <v>145.63460000000001</v>
      </c>
      <c r="AY28" s="47"/>
      <c r="AZ28" s="47"/>
      <c r="BA28" s="54">
        <v>1E-4</v>
      </c>
      <c r="BB28" s="55" t="s">
        <v>154</v>
      </c>
      <c r="BC28" s="51">
        <f t="shared" si="30"/>
        <v>855.44799999999998</v>
      </c>
      <c r="BD28" s="47">
        <f t="shared" si="9"/>
        <v>161.76</v>
      </c>
      <c r="BE28" s="47">
        <f t="shared" si="31"/>
        <v>71.688000000000002</v>
      </c>
      <c r="BF28" s="47">
        <v>59740</v>
      </c>
      <c r="BG28" s="56">
        <v>120</v>
      </c>
      <c r="BH28" s="47">
        <v>502</v>
      </c>
      <c r="BI28" s="51">
        <f t="shared" si="10"/>
        <v>4.7496</v>
      </c>
      <c r="BJ28" s="51">
        <f t="shared" si="11"/>
        <v>0</v>
      </c>
      <c r="BK28" s="47"/>
      <c r="BL28" s="47"/>
      <c r="BM28" s="47"/>
      <c r="BN28" s="47"/>
      <c r="BO28" s="47"/>
      <c r="BP28" s="47">
        <v>4.7496</v>
      </c>
      <c r="BQ28" s="47"/>
      <c r="BR28" s="47"/>
      <c r="BS28" s="53"/>
      <c r="BT28" s="47"/>
      <c r="BU28" s="47"/>
      <c r="BV28" s="47"/>
      <c r="BW28" s="47"/>
      <c r="BX28" s="47">
        <v>210</v>
      </c>
      <c r="BY28" s="47"/>
      <c r="BZ28" s="47">
        <v>14</v>
      </c>
      <c r="CA28" s="47"/>
      <c r="CB28" s="54">
        <f t="shared" si="12"/>
        <v>2725.9672399999999</v>
      </c>
      <c r="CC28" s="47"/>
      <c r="CD28" s="57"/>
      <c r="CE28" s="47"/>
      <c r="CF28" s="47">
        <f t="shared" si="13"/>
        <v>2725.9672399999999</v>
      </c>
    </row>
    <row r="29" spans="1:84" ht="14.25" customHeight="1">
      <c r="A29" s="47">
        <v>22</v>
      </c>
      <c r="B29" s="47" t="s">
        <v>129</v>
      </c>
      <c r="C29" s="48">
        <v>114001</v>
      </c>
      <c r="D29" s="49" t="s">
        <v>155</v>
      </c>
      <c r="E29" s="49" t="s">
        <v>131</v>
      </c>
      <c r="F29" s="50">
        <f t="shared" si="14"/>
        <v>30</v>
      </c>
      <c r="G29" s="50">
        <v>20</v>
      </c>
      <c r="H29" s="50">
        <v>1</v>
      </c>
      <c r="I29" s="50">
        <v>9</v>
      </c>
      <c r="J29" s="50"/>
      <c r="K29" s="50"/>
      <c r="L29" s="50"/>
      <c r="M29" s="50"/>
      <c r="N29" s="50">
        <v>13</v>
      </c>
      <c r="O29" s="50">
        <f t="shared" si="15"/>
        <v>43</v>
      </c>
      <c r="P29" s="51">
        <f t="shared" si="0"/>
        <v>444.10617999999999</v>
      </c>
      <c r="Q29" s="51">
        <f t="shared" si="1"/>
        <v>345.77817999999996</v>
      </c>
      <c r="R29" s="47">
        <f t="shared" si="16"/>
        <v>102537.4</v>
      </c>
      <c r="S29" s="58">
        <v>80625.399999999994</v>
      </c>
      <c r="T29" s="51">
        <v>21912</v>
      </c>
      <c r="U29" s="47">
        <f t="shared" si="17"/>
        <v>123.04488000000001</v>
      </c>
      <c r="V29" s="51">
        <f t="shared" si="2"/>
        <v>55.17</v>
      </c>
      <c r="W29" s="47">
        <f t="shared" si="18"/>
        <v>47.25</v>
      </c>
      <c r="X29" s="47"/>
      <c r="Y29" s="47"/>
      <c r="Z29" s="47"/>
      <c r="AA29" s="47">
        <v>7.92</v>
      </c>
      <c r="AB29" s="51">
        <f t="shared" si="19"/>
        <v>56.235300000000002</v>
      </c>
      <c r="AC29" s="47">
        <f t="shared" si="20"/>
        <v>8.0625</v>
      </c>
      <c r="AD29" s="47"/>
      <c r="AE29" s="47"/>
      <c r="AF29" s="47">
        <f t="shared" si="21"/>
        <v>48.172800000000002</v>
      </c>
      <c r="AG29" s="47">
        <v>40144</v>
      </c>
      <c r="AH29" s="47"/>
      <c r="AI29" s="47">
        <f t="shared" si="22"/>
        <v>23.31</v>
      </c>
      <c r="AJ29" s="53">
        <f t="shared" si="23"/>
        <v>39.974400000000003</v>
      </c>
      <c r="AK29" s="53">
        <f t="shared" si="24"/>
        <v>399744</v>
      </c>
      <c r="AL29" s="47"/>
      <c r="AM29" s="47">
        <f t="shared" si="3"/>
        <v>16.553899999999999</v>
      </c>
      <c r="AN29" s="47">
        <f t="shared" si="4"/>
        <v>15.585900000000001</v>
      </c>
      <c r="AO29" s="47">
        <f t="shared" si="25"/>
        <v>155859</v>
      </c>
      <c r="AP29" s="47">
        <f t="shared" si="5"/>
        <v>0.96799999999999997</v>
      </c>
      <c r="AQ29" s="47">
        <f t="shared" si="26"/>
        <v>9680</v>
      </c>
      <c r="AR29" s="47"/>
      <c r="AS29" s="47">
        <f t="shared" si="27"/>
        <v>1.5088999999999999</v>
      </c>
      <c r="AT29" s="47">
        <f t="shared" si="6"/>
        <v>1.1616</v>
      </c>
      <c r="AU29" s="47">
        <f t="shared" si="28"/>
        <v>11616</v>
      </c>
      <c r="AV29" s="47">
        <f t="shared" si="7"/>
        <v>0.34720000000000001</v>
      </c>
      <c r="AW29" s="47">
        <f t="shared" si="29"/>
        <v>3472</v>
      </c>
      <c r="AX29" s="47">
        <f t="shared" si="8"/>
        <v>29.980799999999999</v>
      </c>
      <c r="AY29" s="47"/>
      <c r="AZ29" s="47"/>
      <c r="BA29" s="54">
        <v>1E-4</v>
      </c>
      <c r="BB29" s="55" t="s">
        <v>155</v>
      </c>
      <c r="BC29" s="51">
        <f t="shared" si="30"/>
        <v>98.328000000000003</v>
      </c>
      <c r="BD29" s="47">
        <f t="shared" si="9"/>
        <v>33.840000000000003</v>
      </c>
      <c r="BE29" s="47">
        <f t="shared" si="31"/>
        <v>16.488</v>
      </c>
      <c r="BF29" s="47">
        <v>13740</v>
      </c>
      <c r="BG29" s="56">
        <v>42</v>
      </c>
      <c r="BH29" s="47">
        <v>6</v>
      </c>
      <c r="BI29" s="51">
        <f t="shared" si="10"/>
        <v>0</v>
      </c>
      <c r="BJ29" s="51">
        <f t="shared" si="11"/>
        <v>0</v>
      </c>
      <c r="BK29" s="47"/>
      <c r="BL29" s="47"/>
      <c r="BM29" s="47"/>
      <c r="BN29" s="47"/>
      <c r="BO29" s="47"/>
      <c r="BP29" s="47"/>
      <c r="BQ29" s="47"/>
      <c r="BR29" s="47"/>
      <c r="BS29" s="53"/>
      <c r="BT29" s="47"/>
      <c r="BU29" s="47"/>
      <c r="BV29" s="47"/>
      <c r="BW29" s="47"/>
      <c r="BX29" s="47"/>
      <c r="BY29" s="47"/>
      <c r="BZ29" s="47"/>
      <c r="CA29" s="47"/>
      <c r="CB29" s="54">
        <f t="shared" si="12"/>
        <v>444.10617999999999</v>
      </c>
      <c r="CC29" s="47"/>
      <c r="CD29" s="57"/>
      <c r="CE29" s="47"/>
      <c r="CF29" s="47">
        <f t="shared" si="13"/>
        <v>444.10617999999999</v>
      </c>
    </row>
    <row r="30" spans="1:84" ht="14.25" customHeight="1">
      <c r="A30" s="47">
        <v>23</v>
      </c>
      <c r="B30" s="47" t="s">
        <v>129</v>
      </c>
      <c r="C30" s="48">
        <v>110001</v>
      </c>
      <c r="D30" s="49" t="s">
        <v>156</v>
      </c>
      <c r="E30" s="49" t="s">
        <v>157</v>
      </c>
      <c r="F30" s="50">
        <f t="shared" si="14"/>
        <v>304</v>
      </c>
      <c r="G30" s="50">
        <v>272</v>
      </c>
      <c r="H30" s="50">
        <v>23</v>
      </c>
      <c r="I30" s="50">
        <v>9</v>
      </c>
      <c r="J30" s="50"/>
      <c r="K30" s="50"/>
      <c r="L30" s="50"/>
      <c r="M30" s="50"/>
      <c r="N30" s="50">
        <v>90</v>
      </c>
      <c r="O30" s="50">
        <f t="shared" si="15"/>
        <v>394</v>
      </c>
      <c r="P30" s="51">
        <f t="shared" si="0"/>
        <v>9987.6886000000013</v>
      </c>
      <c r="Q30" s="51">
        <f t="shared" si="1"/>
        <v>7539.3486000000003</v>
      </c>
      <c r="R30" s="47">
        <f t="shared" si="16"/>
        <v>1341403</v>
      </c>
      <c r="S30" s="58">
        <v>1311439</v>
      </c>
      <c r="T30" s="51">
        <v>29964</v>
      </c>
      <c r="U30" s="47">
        <f t="shared" si="17"/>
        <v>1609.6836000000001</v>
      </c>
      <c r="V30" s="51">
        <f t="shared" si="2"/>
        <v>1374.99</v>
      </c>
      <c r="W30" s="47">
        <f t="shared" si="18"/>
        <v>663.75</v>
      </c>
      <c r="X30" s="47">
        <v>97.68</v>
      </c>
      <c r="Y30" s="47"/>
      <c r="Z30" s="47"/>
      <c r="AA30" s="47">
        <v>613.55999999999995</v>
      </c>
      <c r="AB30" s="51">
        <f t="shared" si="19"/>
        <v>674.68689999999992</v>
      </c>
      <c r="AC30" s="47">
        <v>103.0609</v>
      </c>
      <c r="AD30" s="47">
        <v>40.7712</v>
      </c>
      <c r="AE30" s="47"/>
      <c r="AF30" s="47">
        <f t="shared" si="21"/>
        <v>530.85479999999995</v>
      </c>
      <c r="AG30" s="47">
        <v>442379</v>
      </c>
      <c r="AH30" s="47"/>
      <c r="AI30" s="47">
        <f t="shared" si="22"/>
        <v>23.31</v>
      </c>
      <c r="AJ30" s="53">
        <f t="shared" si="23"/>
        <v>468.90550000000002</v>
      </c>
      <c r="AK30" s="53">
        <f t="shared" si="24"/>
        <v>4689055</v>
      </c>
      <c r="AL30" s="47"/>
      <c r="AM30" s="47">
        <f t="shared" si="3"/>
        <v>195.8982</v>
      </c>
      <c r="AN30" s="47">
        <f t="shared" si="4"/>
        <v>184.4145</v>
      </c>
      <c r="AO30" s="47">
        <f t="shared" si="25"/>
        <v>1844145</v>
      </c>
      <c r="AP30" s="47">
        <f t="shared" si="5"/>
        <v>11.483700000000001</v>
      </c>
      <c r="AQ30" s="47">
        <f t="shared" si="26"/>
        <v>114837</v>
      </c>
      <c r="AR30" s="47"/>
      <c r="AS30" s="47">
        <f t="shared" si="27"/>
        <v>14.1953</v>
      </c>
      <c r="AT30" s="47">
        <f t="shared" si="6"/>
        <v>13.7805</v>
      </c>
      <c r="AU30" s="47">
        <f t="shared" si="28"/>
        <v>137805</v>
      </c>
      <c r="AV30" s="47">
        <f t="shared" si="7"/>
        <v>0.41489999999999999</v>
      </c>
      <c r="AW30" s="47">
        <f t="shared" si="29"/>
        <v>4149</v>
      </c>
      <c r="AX30" s="47">
        <f t="shared" si="8"/>
        <v>351.67910000000001</v>
      </c>
      <c r="AY30" s="47"/>
      <c r="AZ30" s="47">
        <v>2826</v>
      </c>
      <c r="BA30" s="54">
        <v>1E-4</v>
      </c>
      <c r="BB30" s="55" t="s">
        <v>156</v>
      </c>
      <c r="BC30" s="51">
        <f t="shared" si="30"/>
        <v>2245.0240000000003</v>
      </c>
      <c r="BD30" s="47">
        <f>3*(G30+H30)+0.96*(I30+J30)</f>
        <v>893.64</v>
      </c>
      <c r="BE30" s="47">
        <f t="shared" si="31"/>
        <v>227.184</v>
      </c>
      <c r="BF30" s="47">
        <v>189320</v>
      </c>
      <c r="BG30" s="56">
        <v>305</v>
      </c>
      <c r="BH30" s="47">
        <v>819.2</v>
      </c>
      <c r="BI30" s="51">
        <f t="shared" si="10"/>
        <v>203.316</v>
      </c>
      <c r="BJ30" s="51">
        <f t="shared" si="11"/>
        <v>0</v>
      </c>
      <c r="BK30" s="47"/>
      <c r="BL30" s="47"/>
      <c r="BM30" s="47"/>
      <c r="BN30" s="47"/>
      <c r="BO30" s="47"/>
      <c r="BP30" s="47">
        <v>26.756</v>
      </c>
      <c r="BQ30" s="47"/>
      <c r="BR30" s="47"/>
      <c r="BS30" s="53"/>
      <c r="BT30" s="47"/>
      <c r="BU30" s="47"/>
      <c r="BV30" s="47"/>
      <c r="BW30" s="47">
        <v>176.56</v>
      </c>
      <c r="BX30" s="47">
        <v>414.66</v>
      </c>
      <c r="BY30" s="47"/>
      <c r="BZ30" s="47">
        <v>1753</v>
      </c>
      <c r="CA30" s="47"/>
      <c r="CB30" s="54">
        <f t="shared" si="12"/>
        <v>12155.348600000001</v>
      </c>
      <c r="CC30" s="47"/>
      <c r="CD30" s="57"/>
      <c r="CE30" s="47"/>
      <c r="CF30" s="47">
        <f t="shared" si="13"/>
        <v>12155.348600000001</v>
      </c>
    </row>
    <row r="31" spans="1:84" ht="14.25" customHeight="1">
      <c r="A31" s="47">
        <v>24</v>
      </c>
      <c r="B31" s="47" t="s">
        <v>129</v>
      </c>
      <c r="C31" s="48">
        <v>132001</v>
      </c>
      <c r="D31" s="49" t="s">
        <v>158</v>
      </c>
      <c r="E31" s="49" t="s">
        <v>157</v>
      </c>
      <c r="F31" s="50">
        <f t="shared" si="14"/>
        <v>24</v>
      </c>
      <c r="G31" s="50">
        <v>22</v>
      </c>
      <c r="H31" s="50">
        <v>2</v>
      </c>
      <c r="I31" s="50"/>
      <c r="J31" s="50"/>
      <c r="K31" s="50"/>
      <c r="L31" s="50"/>
      <c r="M31" s="50"/>
      <c r="N31" s="50">
        <v>5</v>
      </c>
      <c r="O31" s="50">
        <f t="shared" si="15"/>
        <v>29</v>
      </c>
      <c r="P31" s="51">
        <f t="shared" si="0"/>
        <v>506.14860000000004</v>
      </c>
      <c r="Q31" s="51">
        <f t="shared" si="1"/>
        <v>377.14060000000001</v>
      </c>
      <c r="R31" s="47">
        <f t="shared" si="16"/>
        <v>107063</v>
      </c>
      <c r="S31" s="58">
        <v>107063</v>
      </c>
      <c r="T31" s="51"/>
      <c r="U31" s="47">
        <f t="shared" si="17"/>
        <v>128.47559999999999</v>
      </c>
      <c r="V31" s="51">
        <f t="shared" si="2"/>
        <v>112.68</v>
      </c>
      <c r="W31" s="47">
        <f t="shared" si="18"/>
        <v>54</v>
      </c>
      <c r="X31" s="47">
        <v>6.5519999999999996</v>
      </c>
      <c r="Y31" s="47"/>
      <c r="Z31" s="47"/>
      <c r="AA31" s="47">
        <v>52.128</v>
      </c>
      <c r="AB31" s="51">
        <f t="shared" si="19"/>
        <v>53.863500000000002</v>
      </c>
      <c r="AC31" s="47">
        <v>8.5203000000000007</v>
      </c>
      <c r="AD31" s="47">
        <v>2.4864000000000002</v>
      </c>
      <c r="AE31" s="47"/>
      <c r="AF31" s="47">
        <f t="shared" si="21"/>
        <v>42.8568</v>
      </c>
      <c r="AG31" s="47">
        <v>35714</v>
      </c>
      <c r="AH31" s="47"/>
      <c r="AI31" s="47">
        <f t="shared" si="22"/>
        <v>0</v>
      </c>
      <c r="AJ31" s="53">
        <f t="shared" si="23"/>
        <v>37.416400000000003</v>
      </c>
      <c r="AK31" s="53">
        <f t="shared" si="24"/>
        <v>374164.00000000006</v>
      </c>
      <c r="AL31" s="47"/>
      <c r="AM31" s="47">
        <f t="shared" si="3"/>
        <v>15.5479</v>
      </c>
      <c r="AN31" s="47">
        <f t="shared" si="4"/>
        <v>14.6355</v>
      </c>
      <c r="AO31" s="47">
        <f t="shared" si="25"/>
        <v>146355</v>
      </c>
      <c r="AP31" s="47">
        <f t="shared" si="5"/>
        <v>0.91239999999999999</v>
      </c>
      <c r="AQ31" s="47">
        <f t="shared" si="26"/>
        <v>9124</v>
      </c>
      <c r="AR31" s="47"/>
      <c r="AS31" s="47">
        <f t="shared" si="27"/>
        <v>1.0949</v>
      </c>
      <c r="AT31" s="47">
        <f t="shared" si="6"/>
        <v>1.0949</v>
      </c>
      <c r="AU31" s="47">
        <f t="shared" si="28"/>
        <v>10949</v>
      </c>
      <c r="AV31" s="47">
        <f t="shared" si="7"/>
        <v>0</v>
      </c>
      <c r="AW31" s="47">
        <f t="shared" si="29"/>
        <v>0</v>
      </c>
      <c r="AX31" s="47">
        <f t="shared" si="8"/>
        <v>28.0623</v>
      </c>
      <c r="AY31" s="47"/>
      <c r="AZ31" s="47"/>
      <c r="BA31" s="54">
        <v>1E-4</v>
      </c>
      <c r="BB31" s="55" t="s">
        <v>158</v>
      </c>
      <c r="BC31" s="51">
        <f t="shared" si="30"/>
        <v>127.01599999999999</v>
      </c>
      <c r="BD31" s="47">
        <f t="shared" ref="BD31:BD32" si="32">3*(G31+H31)+0.96*(I31+J31)</f>
        <v>72</v>
      </c>
      <c r="BE31" s="47">
        <f t="shared" si="31"/>
        <v>18.515999999999998</v>
      </c>
      <c r="BF31" s="47">
        <v>15430</v>
      </c>
      <c r="BG31" s="56">
        <v>14</v>
      </c>
      <c r="BH31" s="47">
        <v>22.5</v>
      </c>
      <c r="BI31" s="51">
        <f t="shared" si="10"/>
        <v>1.992</v>
      </c>
      <c r="BJ31" s="51">
        <f t="shared" si="11"/>
        <v>0</v>
      </c>
      <c r="BK31" s="47"/>
      <c r="BL31" s="47"/>
      <c r="BM31" s="47"/>
      <c r="BN31" s="47"/>
      <c r="BO31" s="47"/>
      <c r="BP31" s="47">
        <v>1.992</v>
      </c>
      <c r="BQ31" s="47"/>
      <c r="BR31" s="47"/>
      <c r="BS31" s="53"/>
      <c r="BT31" s="47"/>
      <c r="BU31" s="47"/>
      <c r="BV31" s="47"/>
      <c r="BW31" s="47"/>
      <c r="BX31" s="47"/>
      <c r="BY31" s="47"/>
      <c r="BZ31" s="47">
        <v>72</v>
      </c>
      <c r="CA31" s="47"/>
      <c r="CB31" s="54">
        <f t="shared" si="12"/>
        <v>578.14859999999999</v>
      </c>
      <c r="CC31" s="47"/>
      <c r="CD31" s="57"/>
      <c r="CE31" s="47"/>
      <c r="CF31" s="47">
        <f t="shared" si="13"/>
        <v>578.14859999999999</v>
      </c>
    </row>
    <row r="32" spans="1:84" ht="14.25" customHeight="1">
      <c r="A32" s="47">
        <v>25</v>
      </c>
      <c r="B32" s="47" t="s">
        <v>129</v>
      </c>
      <c r="C32" s="48">
        <v>112001</v>
      </c>
      <c r="D32" s="49" t="s">
        <v>159</v>
      </c>
      <c r="E32" s="49" t="s">
        <v>157</v>
      </c>
      <c r="F32" s="50">
        <f t="shared" si="14"/>
        <v>91</v>
      </c>
      <c r="G32" s="50">
        <v>62</v>
      </c>
      <c r="H32" s="50">
        <v>29</v>
      </c>
      <c r="I32" s="50"/>
      <c r="J32" s="50"/>
      <c r="K32" s="50"/>
      <c r="L32" s="50"/>
      <c r="M32" s="50"/>
      <c r="N32" s="50">
        <v>9</v>
      </c>
      <c r="O32" s="50">
        <f t="shared" si="15"/>
        <v>100</v>
      </c>
      <c r="P32" s="51">
        <f t="shared" si="0"/>
        <v>2653.7665000000002</v>
      </c>
      <c r="Q32" s="51">
        <f t="shared" si="1"/>
        <v>1766.5265000000002</v>
      </c>
      <c r="R32" s="47">
        <f t="shared" si="16"/>
        <v>387924</v>
      </c>
      <c r="S32" s="58">
        <v>387924</v>
      </c>
      <c r="T32" s="51"/>
      <c r="U32" s="47">
        <f t="shared" si="17"/>
        <v>465.50880000000001</v>
      </c>
      <c r="V32" s="51">
        <f t="shared" si="2"/>
        <v>441.13799999999998</v>
      </c>
      <c r="W32" s="47">
        <f t="shared" si="18"/>
        <v>204.75</v>
      </c>
      <c r="X32" s="47">
        <v>38.735999999999997</v>
      </c>
      <c r="Y32" s="47"/>
      <c r="Z32" s="47"/>
      <c r="AA32" s="47">
        <v>197.65199999999999</v>
      </c>
      <c r="AB32" s="51">
        <f t="shared" si="19"/>
        <v>198.95839999999998</v>
      </c>
      <c r="AC32" s="47">
        <v>32.032400000000003</v>
      </c>
      <c r="AD32" s="47">
        <v>12.573600000000001</v>
      </c>
      <c r="AE32" s="47"/>
      <c r="AF32" s="47">
        <f t="shared" si="21"/>
        <v>154.35239999999999</v>
      </c>
      <c r="AG32" s="47">
        <v>128627</v>
      </c>
      <c r="AH32" s="47"/>
      <c r="AI32" s="47">
        <f t="shared" si="22"/>
        <v>0</v>
      </c>
      <c r="AJ32" s="53">
        <f t="shared" si="23"/>
        <v>137.06299999999999</v>
      </c>
      <c r="AK32" s="53">
        <f t="shared" si="24"/>
        <v>1370629.9999999998</v>
      </c>
      <c r="AL32" s="47"/>
      <c r="AM32" s="47">
        <f t="shared" si="3"/>
        <v>57.039499999999997</v>
      </c>
      <c r="AN32" s="47">
        <f t="shared" si="4"/>
        <v>53.688200000000002</v>
      </c>
      <c r="AO32" s="47">
        <f t="shared" si="25"/>
        <v>536882</v>
      </c>
      <c r="AP32" s="47">
        <f t="shared" si="5"/>
        <v>3.3513000000000002</v>
      </c>
      <c r="AQ32" s="47">
        <f t="shared" si="26"/>
        <v>33513</v>
      </c>
      <c r="AR32" s="47"/>
      <c r="AS32" s="47">
        <f t="shared" si="27"/>
        <v>4.0216000000000003</v>
      </c>
      <c r="AT32" s="47">
        <f t="shared" si="6"/>
        <v>4.0216000000000003</v>
      </c>
      <c r="AU32" s="47">
        <f t="shared" si="28"/>
        <v>40216</v>
      </c>
      <c r="AV32" s="47">
        <f t="shared" si="7"/>
        <v>0</v>
      </c>
      <c r="AW32" s="47">
        <f t="shared" si="29"/>
        <v>0</v>
      </c>
      <c r="AX32" s="47">
        <f t="shared" si="8"/>
        <v>102.7972</v>
      </c>
      <c r="AY32" s="47"/>
      <c r="AZ32" s="47">
        <v>360</v>
      </c>
      <c r="BA32" s="54">
        <v>1E-4</v>
      </c>
      <c r="BB32" s="55" t="s">
        <v>159</v>
      </c>
      <c r="BC32" s="51">
        <f t="shared" si="30"/>
        <v>887.24</v>
      </c>
      <c r="BD32" s="47">
        <f t="shared" si="32"/>
        <v>273</v>
      </c>
      <c r="BE32" s="47">
        <f t="shared" si="31"/>
        <v>66.239999999999995</v>
      </c>
      <c r="BF32" s="47">
        <v>55200</v>
      </c>
      <c r="BG32" s="56">
        <v>132</v>
      </c>
      <c r="BH32" s="47">
        <v>416</v>
      </c>
      <c r="BI32" s="51">
        <f t="shared" si="10"/>
        <v>0</v>
      </c>
      <c r="BJ32" s="51">
        <f t="shared" si="11"/>
        <v>0</v>
      </c>
      <c r="BK32" s="47"/>
      <c r="BL32" s="47"/>
      <c r="BM32" s="47"/>
      <c r="BN32" s="47"/>
      <c r="BO32" s="47"/>
      <c r="BP32" s="47"/>
      <c r="BQ32" s="47"/>
      <c r="BR32" s="47"/>
      <c r="BS32" s="53"/>
      <c r="BT32" s="47"/>
      <c r="BU32" s="47"/>
      <c r="BV32" s="47"/>
      <c r="BW32" s="47"/>
      <c r="BX32" s="47">
        <v>50</v>
      </c>
      <c r="BY32" s="47"/>
      <c r="BZ32" s="47">
        <v>217.03</v>
      </c>
      <c r="CA32" s="47"/>
      <c r="CB32" s="54">
        <f t="shared" si="12"/>
        <v>2920.7965000000004</v>
      </c>
      <c r="CC32" s="47"/>
      <c r="CD32" s="57"/>
      <c r="CE32" s="47"/>
      <c r="CF32" s="47">
        <f t="shared" si="13"/>
        <v>2920.7965000000004</v>
      </c>
    </row>
    <row r="33" spans="1:84" ht="14.25" customHeight="1">
      <c r="A33" s="47">
        <v>26</v>
      </c>
      <c r="B33" s="47" t="s">
        <v>129</v>
      </c>
      <c r="C33" s="48">
        <v>111001</v>
      </c>
      <c r="D33" s="49" t="s">
        <v>160</v>
      </c>
      <c r="E33" s="49" t="s">
        <v>131</v>
      </c>
      <c r="F33" s="50">
        <f t="shared" si="14"/>
        <v>77</v>
      </c>
      <c r="G33" s="50">
        <v>45</v>
      </c>
      <c r="H33" s="50">
        <v>20</v>
      </c>
      <c r="I33" s="50">
        <v>12</v>
      </c>
      <c r="J33" s="50"/>
      <c r="K33" s="50"/>
      <c r="L33" s="50">
        <v>3</v>
      </c>
      <c r="M33" s="50"/>
      <c r="N33" s="50">
        <v>13</v>
      </c>
      <c r="O33" s="50">
        <f t="shared" si="15"/>
        <v>93</v>
      </c>
      <c r="P33" s="51">
        <f t="shared" si="0"/>
        <v>1176.6955</v>
      </c>
      <c r="Q33" s="51">
        <f t="shared" si="1"/>
        <v>959.1155</v>
      </c>
      <c r="R33" s="47">
        <f t="shared" si="16"/>
        <v>245229</v>
      </c>
      <c r="S33" s="58">
        <v>213449</v>
      </c>
      <c r="T33" s="51">
        <f>38134-6354</f>
        <v>31780</v>
      </c>
      <c r="U33" s="47">
        <f>ROUND(R33*12/10000,5)+2*L33</f>
        <v>300.27480000000003</v>
      </c>
      <c r="V33" s="51">
        <f t="shared" si="2"/>
        <v>255.54599999999999</v>
      </c>
      <c r="W33" s="47">
        <f t="shared" si="18"/>
        <v>146.25</v>
      </c>
      <c r="X33" s="47">
        <v>44.496000000000002</v>
      </c>
      <c r="Y33" s="47"/>
      <c r="Z33" s="47"/>
      <c r="AA33" s="47">
        <v>64.8</v>
      </c>
      <c r="AB33" s="51">
        <f t="shared" si="19"/>
        <v>153.15289999999999</v>
      </c>
      <c r="AC33" s="47">
        <f t="shared" si="20"/>
        <v>21.344899999999999</v>
      </c>
      <c r="AD33" s="47">
        <v>8.8439999999999994</v>
      </c>
      <c r="AE33" s="47"/>
      <c r="AF33" s="47">
        <f t="shared" si="21"/>
        <v>122.964</v>
      </c>
      <c r="AG33" s="47">
        <v>102470</v>
      </c>
      <c r="AH33" s="47"/>
      <c r="AI33" s="47">
        <f>ROUND(2.59*(I33+J33+K33),4)+L33*2.59*0.4</f>
        <v>34.187999999999995</v>
      </c>
      <c r="AJ33" s="53">
        <f>ROUND((U33+W33+AC33+AE33+AF33+AI33-2.59*3*0.4-6)*0.16,4)</f>
        <v>98.546199999999999</v>
      </c>
      <c r="AK33" s="53">
        <f t="shared" si="24"/>
        <v>985462</v>
      </c>
      <c r="AL33" s="47"/>
      <c r="AM33" s="47">
        <f>ROUND(((U33+W33+AI33-6-3*2.59*0.4)*0.085+N33*0.0075),4)</f>
        <v>40.183900000000001</v>
      </c>
      <c r="AN33" s="47">
        <f>ROUND(((U33+W33+AI33-6-2.59*3*0.4)*0.08+N33*0.0075),4)</f>
        <v>37.825899999999997</v>
      </c>
      <c r="AO33" s="47">
        <f t="shared" si="25"/>
        <v>378259</v>
      </c>
      <c r="AP33" s="47">
        <f>ROUND(((U33+W33+AI33-6-2.59*3*0.4)*0.005),4)</f>
        <v>2.3580000000000001</v>
      </c>
      <c r="AQ33" s="47">
        <f t="shared" si="26"/>
        <v>23580</v>
      </c>
      <c r="AR33" s="47"/>
      <c r="AS33" s="47">
        <f>ROUND(((T33*12/10000+AI33-3*2.59*0.4)*0.007+(U33+W33+AI33-6-3*2.59*0.4)*0.006),4)</f>
        <v>3.3140999999999998</v>
      </c>
      <c r="AT33" s="47">
        <f>ROUND(((U33+W33+AI33-6-2.59*3*0.4)*0.006),4)</f>
        <v>2.8296000000000001</v>
      </c>
      <c r="AU33" s="47">
        <f t="shared" si="28"/>
        <v>28296</v>
      </c>
      <c r="AV33" s="47">
        <f>ROUND(((T33*12/10000+AI33-2.59*3*0.4)*0.007),4)</f>
        <v>0.48449999999999999</v>
      </c>
      <c r="AW33" s="47">
        <f t="shared" si="29"/>
        <v>4845</v>
      </c>
      <c r="AX33" s="47">
        <f>ROUND((U33+W33+AC33+AE33+AF33+AI33-2.59*3*0.4-6)*0.12,4)</f>
        <v>73.909599999999998</v>
      </c>
      <c r="AY33" s="47"/>
      <c r="AZ33" s="47"/>
      <c r="BA33" s="54">
        <v>1E-4</v>
      </c>
      <c r="BB33" s="55" t="s">
        <v>160</v>
      </c>
      <c r="BC33" s="51">
        <f t="shared" si="30"/>
        <v>214.43599999999998</v>
      </c>
      <c r="BD33" s="47">
        <f t="shared" ref="BD33:BD96" si="33">1.2*(G33+H33)+0.96*(I33+J33)</f>
        <v>89.52</v>
      </c>
      <c r="BE33" s="47">
        <f t="shared" si="31"/>
        <v>44.915999999999997</v>
      </c>
      <c r="BF33" s="47">
        <v>37430</v>
      </c>
      <c r="BG33" s="56">
        <v>80</v>
      </c>
      <c r="BH33" s="47"/>
      <c r="BI33" s="51">
        <f t="shared" si="10"/>
        <v>3.1440000000000001</v>
      </c>
      <c r="BJ33" s="51">
        <f t="shared" si="11"/>
        <v>0</v>
      </c>
      <c r="BK33" s="47"/>
      <c r="BL33" s="47"/>
      <c r="BM33" s="47"/>
      <c r="BN33" s="47"/>
      <c r="BO33" s="47"/>
      <c r="BP33" s="47">
        <v>3.1440000000000001</v>
      </c>
      <c r="BQ33" s="47"/>
      <c r="BR33" s="47"/>
      <c r="BS33" s="53"/>
      <c r="BT33" s="47"/>
      <c r="BU33" s="47"/>
      <c r="BV33" s="47"/>
      <c r="BW33" s="47"/>
      <c r="BX33" s="47">
        <v>138</v>
      </c>
      <c r="BY33" s="47"/>
      <c r="BZ33" s="47">
        <v>211</v>
      </c>
      <c r="CA33" s="47"/>
      <c r="CB33" s="54">
        <f t="shared" si="12"/>
        <v>1525.6955</v>
      </c>
      <c r="CC33" s="47"/>
      <c r="CD33" s="57"/>
      <c r="CE33" s="47"/>
      <c r="CF33" s="47">
        <f t="shared" si="13"/>
        <v>1525.6955</v>
      </c>
    </row>
    <row r="34" spans="1:84" ht="14.25" customHeight="1">
      <c r="A34" s="47">
        <v>27</v>
      </c>
      <c r="B34" s="47" t="s">
        <v>129</v>
      </c>
      <c r="C34" s="48">
        <v>125001</v>
      </c>
      <c r="D34" s="49" t="s">
        <v>161</v>
      </c>
      <c r="E34" s="49" t="s">
        <v>131</v>
      </c>
      <c r="F34" s="50">
        <f t="shared" si="14"/>
        <v>136</v>
      </c>
      <c r="G34" s="50">
        <v>83</v>
      </c>
      <c r="H34" s="50">
        <v>8</v>
      </c>
      <c r="I34" s="50">
        <v>31</v>
      </c>
      <c r="J34" s="50">
        <v>14</v>
      </c>
      <c r="K34" s="50"/>
      <c r="L34" s="50"/>
      <c r="M34" s="50"/>
      <c r="N34" s="50">
        <v>94</v>
      </c>
      <c r="O34" s="50">
        <f t="shared" si="15"/>
        <v>230</v>
      </c>
      <c r="P34" s="51">
        <f t="shared" si="0"/>
        <v>2118.2518000000005</v>
      </c>
      <c r="Q34" s="51">
        <f t="shared" si="1"/>
        <v>1676.1918000000003</v>
      </c>
      <c r="R34" s="47">
        <f t="shared" si="16"/>
        <v>473497</v>
      </c>
      <c r="S34" s="58">
        <v>331713</v>
      </c>
      <c r="T34" s="51">
        <v>141784</v>
      </c>
      <c r="U34" s="47">
        <f t="shared" si="17"/>
        <v>568.19640000000004</v>
      </c>
      <c r="V34" s="51">
        <f t="shared" si="2"/>
        <v>246.078</v>
      </c>
      <c r="W34" s="47">
        <f t="shared" si="18"/>
        <v>204.75</v>
      </c>
      <c r="X34" s="47">
        <v>41.328000000000003</v>
      </c>
      <c r="Y34" s="47"/>
      <c r="Z34" s="47"/>
      <c r="AA34" s="47"/>
      <c r="AB34" s="51">
        <f t="shared" si="19"/>
        <v>262.77690000000001</v>
      </c>
      <c r="AC34" s="47">
        <f t="shared" si="20"/>
        <v>33.171300000000002</v>
      </c>
      <c r="AD34" s="47">
        <v>13.2216</v>
      </c>
      <c r="AE34" s="47"/>
      <c r="AF34" s="47">
        <f t="shared" si="21"/>
        <v>216.38399999999999</v>
      </c>
      <c r="AG34" s="47">
        <v>180320</v>
      </c>
      <c r="AH34" s="47"/>
      <c r="AI34" s="47">
        <f t="shared" si="22"/>
        <v>116.55</v>
      </c>
      <c r="AJ34" s="53">
        <f t="shared" si="23"/>
        <v>182.2483</v>
      </c>
      <c r="AK34" s="53">
        <f t="shared" si="24"/>
        <v>1822483</v>
      </c>
      <c r="AL34" s="47"/>
      <c r="AM34" s="47">
        <f t="shared" si="3"/>
        <v>76.312200000000004</v>
      </c>
      <c r="AN34" s="47">
        <f t="shared" si="4"/>
        <v>71.864699999999999</v>
      </c>
      <c r="AO34" s="47">
        <f t="shared" si="25"/>
        <v>718647</v>
      </c>
      <c r="AP34" s="47">
        <f t="shared" si="5"/>
        <v>4.4474999999999998</v>
      </c>
      <c r="AQ34" s="47">
        <f t="shared" si="26"/>
        <v>44475</v>
      </c>
      <c r="AR34" s="47"/>
      <c r="AS34" s="47">
        <f t="shared" si="27"/>
        <v>7.3437999999999999</v>
      </c>
      <c r="AT34" s="47">
        <f t="shared" si="6"/>
        <v>5.3369999999999997</v>
      </c>
      <c r="AU34" s="47">
        <f t="shared" si="28"/>
        <v>53370</v>
      </c>
      <c r="AV34" s="47">
        <f t="shared" si="7"/>
        <v>2.0068000000000001</v>
      </c>
      <c r="AW34" s="47">
        <f t="shared" si="29"/>
        <v>20068</v>
      </c>
      <c r="AX34" s="47">
        <f t="shared" si="8"/>
        <v>136.68620000000001</v>
      </c>
      <c r="AY34" s="47"/>
      <c r="AZ34" s="47">
        <v>80</v>
      </c>
      <c r="BA34" s="54">
        <v>1E-4</v>
      </c>
      <c r="BB34" s="55" t="s">
        <v>161</v>
      </c>
      <c r="BC34" s="51">
        <f t="shared" si="30"/>
        <v>428.06799999999998</v>
      </c>
      <c r="BD34" s="47">
        <f t="shared" si="33"/>
        <v>152.4</v>
      </c>
      <c r="BE34" s="47">
        <f t="shared" si="31"/>
        <v>64.668000000000006</v>
      </c>
      <c r="BF34" s="47">
        <v>53890</v>
      </c>
      <c r="BG34" s="56">
        <v>121</v>
      </c>
      <c r="BH34" s="47">
        <v>90</v>
      </c>
      <c r="BI34" s="51">
        <f t="shared" si="10"/>
        <v>13.992000000000001</v>
      </c>
      <c r="BJ34" s="51">
        <f t="shared" si="11"/>
        <v>0</v>
      </c>
      <c r="BK34" s="47"/>
      <c r="BL34" s="47"/>
      <c r="BM34" s="47"/>
      <c r="BN34" s="47"/>
      <c r="BO34" s="47"/>
      <c r="BP34" s="47">
        <v>13.992000000000001</v>
      </c>
      <c r="BQ34" s="47"/>
      <c r="BR34" s="47"/>
      <c r="BS34" s="53"/>
      <c r="BT34" s="47"/>
      <c r="BU34" s="47"/>
      <c r="BV34" s="47"/>
      <c r="BW34" s="47"/>
      <c r="BX34" s="47">
        <v>301</v>
      </c>
      <c r="BY34" s="47"/>
      <c r="BZ34" s="47">
        <v>228.5</v>
      </c>
      <c r="CA34" s="47"/>
      <c r="CB34" s="54">
        <f t="shared" si="12"/>
        <v>2647.7518000000005</v>
      </c>
      <c r="CC34" s="47"/>
      <c r="CD34" s="57"/>
      <c r="CE34" s="47"/>
      <c r="CF34" s="47">
        <f t="shared" si="13"/>
        <v>2647.7518000000005</v>
      </c>
    </row>
    <row r="35" spans="1:84" ht="14.25" customHeight="1">
      <c r="A35" s="47">
        <v>28</v>
      </c>
      <c r="B35" s="47" t="s">
        <v>129</v>
      </c>
      <c r="C35" s="48">
        <v>101003</v>
      </c>
      <c r="D35" s="49" t="s">
        <v>162</v>
      </c>
      <c r="E35" s="49" t="s">
        <v>131</v>
      </c>
      <c r="F35" s="50">
        <f t="shared" si="14"/>
        <v>8</v>
      </c>
      <c r="G35" s="50">
        <v>6</v>
      </c>
      <c r="H35" s="50"/>
      <c r="I35" s="50">
        <v>2</v>
      </c>
      <c r="J35" s="50"/>
      <c r="K35" s="50"/>
      <c r="L35" s="50"/>
      <c r="M35" s="50"/>
      <c r="N35" s="50"/>
      <c r="O35" s="50">
        <f t="shared" si="15"/>
        <v>8</v>
      </c>
      <c r="P35" s="51">
        <f t="shared" si="0"/>
        <v>164.38489999999999</v>
      </c>
      <c r="Q35" s="51">
        <f t="shared" si="1"/>
        <v>113.00489999999999</v>
      </c>
      <c r="R35" s="47">
        <f t="shared" si="16"/>
        <v>23708</v>
      </c>
      <c r="S35" s="58">
        <v>18386</v>
      </c>
      <c r="T35" s="51">
        <v>5322</v>
      </c>
      <c r="U35" s="47">
        <f t="shared" si="17"/>
        <v>28.4496</v>
      </c>
      <c r="V35" s="51">
        <f t="shared" si="2"/>
        <v>13.5</v>
      </c>
      <c r="W35" s="47">
        <f t="shared" si="18"/>
        <v>13.5</v>
      </c>
      <c r="X35" s="47"/>
      <c r="Y35" s="47"/>
      <c r="Z35" s="47"/>
      <c r="AA35" s="47"/>
      <c r="AB35" s="51">
        <f t="shared" si="19"/>
        <v>15.0854</v>
      </c>
      <c r="AC35" s="47">
        <f t="shared" si="20"/>
        <v>1.8386</v>
      </c>
      <c r="AD35" s="47"/>
      <c r="AE35" s="47"/>
      <c r="AF35" s="47">
        <f t="shared" si="21"/>
        <v>13.2468</v>
      </c>
      <c r="AG35" s="47">
        <v>11039</v>
      </c>
      <c r="AH35" s="47"/>
      <c r="AI35" s="47">
        <f t="shared" si="22"/>
        <v>5.18</v>
      </c>
      <c r="AJ35" s="53">
        <f t="shared" si="23"/>
        <v>9.9543999999999997</v>
      </c>
      <c r="AK35" s="53">
        <f t="shared" si="24"/>
        <v>99544</v>
      </c>
      <c r="AL35" s="47"/>
      <c r="AM35" s="47">
        <f t="shared" si="3"/>
        <v>4.0060000000000002</v>
      </c>
      <c r="AN35" s="47">
        <f t="shared" si="4"/>
        <v>3.7704</v>
      </c>
      <c r="AO35" s="47">
        <f t="shared" si="25"/>
        <v>37704</v>
      </c>
      <c r="AP35" s="47">
        <f t="shared" si="5"/>
        <v>0.2356</v>
      </c>
      <c r="AQ35" s="47">
        <f t="shared" si="26"/>
        <v>2356</v>
      </c>
      <c r="AR35" s="47"/>
      <c r="AS35" s="47">
        <f t="shared" si="27"/>
        <v>0.36370000000000002</v>
      </c>
      <c r="AT35" s="47">
        <f t="shared" si="6"/>
        <v>0.2828</v>
      </c>
      <c r="AU35" s="47">
        <f t="shared" si="28"/>
        <v>2828</v>
      </c>
      <c r="AV35" s="47">
        <f t="shared" si="7"/>
        <v>8.1000000000000003E-2</v>
      </c>
      <c r="AW35" s="47">
        <f t="shared" si="29"/>
        <v>810</v>
      </c>
      <c r="AX35" s="47">
        <f t="shared" si="8"/>
        <v>7.4657999999999998</v>
      </c>
      <c r="AY35" s="47"/>
      <c r="AZ35" s="47">
        <v>29</v>
      </c>
      <c r="BA35" s="54">
        <v>1E-4</v>
      </c>
      <c r="BB35" s="55" t="s">
        <v>162</v>
      </c>
      <c r="BC35" s="51">
        <f t="shared" si="30"/>
        <v>51.379999999999995</v>
      </c>
      <c r="BD35" s="47">
        <f t="shared" si="33"/>
        <v>9.1199999999999992</v>
      </c>
      <c r="BE35" s="47">
        <f t="shared" si="31"/>
        <v>4.26</v>
      </c>
      <c r="BF35" s="47">
        <v>3550</v>
      </c>
      <c r="BG35" s="56">
        <v>38</v>
      </c>
      <c r="BH35" s="47"/>
      <c r="BI35" s="51">
        <f t="shared" si="10"/>
        <v>0</v>
      </c>
      <c r="BJ35" s="51">
        <f t="shared" si="11"/>
        <v>0</v>
      </c>
      <c r="BK35" s="47"/>
      <c r="BL35" s="47"/>
      <c r="BM35" s="47"/>
      <c r="BN35" s="47"/>
      <c r="BO35" s="47"/>
      <c r="BP35" s="47"/>
      <c r="BQ35" s="47"/>
      <c r="BR35" s="47"/>
      <c r="BS35" s="53"/>
      <c r="BT35" s="47"/>
      <c r="BU35" s="47"/>
      <c r="BV35" s="47"/>
      <c r="BW35" s="47"/>
      <c r="BX35" s="47">
        <v>54.58</v>
      </c>
      <c r="BY35" s="47"/>
      <c r="BZ35" s="47"/>
      <c r="CA35" s="47"/>
      <c r="CB35" s="54">
        <f t="shared" si="12"/>
        <v>218.9649</v>
      </c>
      <c r="CC35" s="47"/>
      <c r="CD35" s="57"/>
      <c r="CE35" s="47"/>
      <c r="CF35" s="47">
        <f t="shared" si="13"/>
        <v>218.9649</v>
      </c>
    </row>
    <row r="36" spans="1:84" ht="14.25" customHeight="1">
      <c r="A36" s="47">
        <v>29</v>
      </c>
      <c r="B36" s="47" t="s">
        <v>129</v>
      </c>
      <c r="C36" s="48">
        <v>101002</v>
      </c>
      <c r="D36" s="49" t="s">
        <v>163</v>
      </c>
      <c r="E36" s="49" t="s">
        <v>150</v>
      </c>
      <c r="F36" s="50">
        <f t="shared" si="14"/>
        <v>14</v>
      </c>
      <c r="G36" s="50"/>
      <c r="H36" s="50"/>
      <c r="I36" s="50">
        <v>14</v>
      </c>
      <c r="J36" s="50"/>
      <c r="K36" s="50"/>
      <c r="L36" s="50"/>
      <c r="M36" s="50"/>
      <c r="N36" s="50"/>
      <c r="O36" s="50">
        <f t="shared" si="15"/>
        <v>14</v>
      </c>
      <c r="P36" s="51">
        <f t="shared" si="0"/>
        <v>199.53609999999998</v>
      </c>
      <c r="Q36" s="51">
        <f t="shared" si="1"/>
        <v>140.09609999999998</v>
      </c>
      <c r="R36" s="47">
        <f t="shared" si="16"/>
        <v>38900</v>
      </c>
      <c r="S36" s="58"/>
      <c r="T36" s="51">
        <v>38900</v>
      </c>
      <c r="U36" s="47">
        <f t="shared" si="17"/>
        <v>46.68</v>
      </c>
      <c r="V36" s="51">
        <f t="shared" si="2"/>
        <v>0</v>
      </c>
      <c r="W36" s="47">
        <f t="shared" si="18"/>
        <v>0</v>
      </c>
      <c r="X36" s="47"/>
      <c r="Y36" s="47"/>
      <c r="Z36" s="47"/>
      <c r="AA36" s="47"/>
      <c r="AB36" s="51">
        <f t="shared" si="19"/>
        <v>20.16</v>
      </c>
      <c r="AC36" s="47">
        <f t="shared" si="20"/>
        <v>0</v>
      </c>
      <c r="AD36" s="47"/>
      <c r="AE36" s="47"/>
      <c r="AF36" s="47">
        <f t="shared" si="21"/>
        <v>20.16</v>
      </c>
      <c r="AG36" s="47">
        <v>16800</v>
      </c>
      <c r="AH36" s="47"/>
      <c r="AI36" s="47">
        <f t="shared" si="22"/>
        <v>36.26</v>
      </c>
      <c r="AJ36" s="53">
        <f t="shared" si="23"/>
        <v>16.495999999999999</v>
      </c>
      <c r="AK36" s="53">
        <f t="shared" si="24"/>
        <v>164960</v>
      </c>
      <c r="AL36" s="47"/>
      <c r="AM36" s="47">
        <f t="shared" si="3"/>
        <v>7.0499000000000001</v>
      </c>
      <c r="AN36" s="47">
        <f t="shared" si="4"/>
        <v>6.6352000000000002</v>
      </c>
      <c r="AO36" s="47">
        <f t="shared" si="25"/>
        <v>66352</v>
      </c>
      <c r="AP36" s="47">
        <f t="shared" si="5"/>
        <v>0.41470000000000001</v>
      </c>
      <c r="AQ36" s="47">
        <f t="shared" si="26"/>
        <v>4147</v>
      </c>
      <c r="AR36" s="47"/>
      <c r="AS36" s="47">
        <f t="shared" si="27"/>
        <v>1.0782</v>
      </c>
      <c r="AT36" s="47">
        <f t="shared" si="6"/>
        <v>0.49759999999999999</v>
      </c>
      <c r="AU36" s="47">
        <f t="shared" si="28"/>
        <v>4976</v>
      </c>
      <c r="AV36" s="47">
        <f t="shared" si="7"/>
        <v>0.5806</v>
      </c>
      <c r="AW36" s="47">
        <f t="shared" si="29"/>
        <v>5806</v>
      </c>
      <c r="AX36" s="47">
        <f t="shared" si="8"/>
        <v>12.372</v>
      </c>
      <c r="AY36" s="47"/>
      <c r="AZ36" s="47"/>
      <c r="BA36" s="54">
        <v>1E-4</v>
      </c>
      <c r="BB36" s="55" t="s">
        <v>163</v>
      </c>
      <c r="BC36" s="51">
        <f t="shared" si="30"/>
        <v>59.44</v>
      </c>
      <c r="BD36" s="47">
        <f t="shared" si="33"/>
        <v>13.44</v>
      </c>
      <c r="BE36" s="47">
        <f t="shared" si="31"/>
        <v>0</v>
      </c>
      <c r="BF36" s="47"/>
      <c r="BG36" s="56">
        <v>46</v>
      </c>
      <c r="BH36" s="47"/>
      <c r="BI36" s="51">
        <f t="shared" si="10"/>
        <v>0</v>
      </c>
      <c r="BJ36" s="51">
        <f t="shared" si="11"/>
        <v>0</v>
      </c>
      <c r="BK36" s="47"/>
      <c r="BL36" s="47"/>
      <c r="BM36" s="47"/>
      <c r="BN36" s="47"/>
      <c r="BO36" s="47"/>
      <c r="BP36" s="47"/>
      <c r="BQ36" s="47"/>
      <c r="BR36" s="47"/>
      <c r="BS36" s="53"/>
      <c r="BT36" s="47"/>
      <c r="BU36" s="47"/>
      <c r="BV36" s="47"/>
      <c r="BW36" s="47"/>
      <c r="BX36" s="47"/>
      <c r="BY36" s="47"/>
      <c r="BZ36" s="47"/>
      <c r="CA36" s="47"/>
      <c r="CB36" s="54">
        <f t="shared" si="12"/>
        <v>199.53609999999998</v>
      </c>
      <c r="CC36" s="47"/>
      <c r="CD36" s="57"/>
      <c r="CE36" s="47"/>
      <c r="CF36" s="47">
        <f t="shared" si="13"/>
        <v>199.53609999999998</v>
      </c>
    </row>
    <row r="37" spans="1:84" ht="14.25" customHeight="1">
      <c r="A37" s="47">
        <v>30</v>
      </c>
      <c r="B37" s="47" t="s">
        <v>129</v>
      </c>
      <c r="C37" s="48">
        <v>128001</v>
      </c>
      <c r="D37" s="49" t="s">
        <v>164</v>
      </c>
      <c r="E37" s="49" t="s">
        <v>150</v>
      </c>
      <c r="F37" s="50">
        <f t="shared" si="14"/>
        <v>7</v>
      </c>
      <c r="G37" s="50"/>
      <c r="H37" s="50"/>
      <c r="I37" s="50">
        <v>7</v>
      </c>
      <c r="J37" s="50"/>
      <c r="K37" s="50"/>
      <c r="L37" s="50"/>
      <c r="M37" s="50"/>
      <c r="N37" s="50"/>
      <c r="O37" s="50">
        <f t="shared" si="15"/>
        <v>7</v>
      </c>
      <c r="P37" s="51">
        <f t="shared" si="0"/>
        <v>103.05249999999999</v>
      </c>
      <c r="Q37" s="51">
        <f t="shared" si="1"/>
        <v>70.332499999999996</v>
      </c>
      <c r="R37" s="47">
        <f t="shared" si="16"/>
        <v>19622</v>
      </c>
      <c r="S37" s="58"/>
      <c r="T37" s="51">
        <v>19622</v>
      </c>
      <c r="U37" s="47">
        <f t="shared" si="17"/>
        <v>23.546399999999998</v>
      </c>
      <c r="V37" s="51">
        <f t="shared" si="2"/>
        <v>0</v>
      </c>
      <c r="W37" s="47">
        <f t="shared" si="18"/>
        <v>0</v>
      </c>
      <c r="X37" s="47"/>
      <c r="Y37" s="47"/>
      <c r="Z37" s="47"/>
      <c r="AA37" s="47"/>
      <c r="AB37" s="51">
        <f t="shared" si="19"/>
        <v>10.08</v>
      </c>
      <c r="AC37" s="47">
        <f t="shared" si="20"/>
        <v>0</v>
      </c>
      <c r="AD37" s="47"/>
      <c r="AE37" s="47"/>
      <c r="AF37" s="47">
        <f t="shared" si="21"/>
        <v>10.08</v>
      </c>
      <c r="AG37" s="47">
        <v>8400</v>
      </c>
      <c r="AH37" s="47"/>
      <c r="AI37" s="47">
        <f t="shared" si="22"/>
        <v>18.13</v>
      </c>
      <c r="AJ37" s="53">
        <f t="shared" si="23"/>
        <v>8.2810000000000006</v>
      </c>
      <c r="AK37" s="53">
        <f t="shared" si="24"/>
        <v>82810</v>
      </c>
      <c r="AL37" s="47"/>
      <c r="AM37" s="47">
        <f t="shared" si="3"/>
        <v>3.5425</v>
      </c>
      <c r="AN37" s="47">
        <f t="shared" si="4"/>
        <v>3.3340999999999998</v>
      </c>
      <c r="AO37" s="47">
        <f t="shared" si="25"/>
        <v>33341</v>
      </c>
      <c r="AP37" s="47">
        <f t="shared" si="5"/>
        <v>0.2084</v>
      </c>
      <c r="AQ37" s="47">
        <f t="shared" si="26"/>
        <v>2084</v>
      </c>
      <c r="AR37" s="47"/>
      <c r="AS37" s="47">
        <f t="shared" si="27"/>
        <v>0.54179999999999995</v>
      </c>
      <c r="AT37" s="47">
        <f t="shared" si="6"/>
        <v>0.25009999999999999</v>
      </c>
      <c r="AU37" s="47">
        <f t="shared" si="28"/>
        <v>2501</v>
      </c>
      <c r="AV37" s="47">
        <f t="shared" si="7"/>
        <v>0.29170000000000001</v>
      </c>
      <c r="AW37" s="47">
        <f t="shared" si="29"/>
        <v>2917</v>
      </c>
      <c r="AX37" s="47">
        <f t="shared" si="8"/>
        <v>6.2107999999999999</v>
      </c>
      <c r="AY37" s="47"/>
      <c r="AZ37" s="47"/>
      <c r="BA37" s="54">
        <v>1E-4</v>
      </c>
      <c r="BB37" s="55" t="s">
        <v>164</v>
      </c>
      <c r="BC37" s="51">
        <f t="shared" si="30"/>
        <v>32.72</v>
      </c>
      <c r="BD37" s="47">
        <f t="shared" si="33"/>
        <v>6.72</v>
      </c>
      <c r="BE37" s="47">
        <f t="shared" si="31"/>
        <v>0</v>
      </c>
      <c r="BF37" s="47"/>
      <c r="BG37" s="56">
        <v>26</v>
      </c>
      <c r="BH37" s="47"/>
      <c r="BI37" s="51">
        <f t="shared" si="10"/>
        <v>0</v>
      </c>
      <c r="BJ37" s="51">
        <f t="shared" si="11"/>
        <v>0</v>
      </c>
      <c r="BK37" s="47"/>
      <c r="BL37" s="47"/>
      <c r="BM37" s="47"/>
      <c r="BN37" s="47"/>
      <c r="BO37" s="47"/>
      <c r="BP37" s="47"/>
      <c r="BQ37" s="47"/>
      <c r="BR37" s="47"/>
      <c r="BS37" s="53"/>
      <c r="BT37" s="47"/>
      <c r="BU37" s="47"/>
      <c r="BV37" s="47"/>
      <c r="BW37" s="47"/>
      <c r="BX37" s="47"/>
      <c r="BY37" s="47"/>
      <c r="BZ37" s="47"/>
      <c r="CA37" s="47"/>
      <c r="CB37" s="54">
        <f t="shared" si="12"/>
        <v>103.05249999999999</v>
      </c>
      <c r="CC37" s="47"/>
      <c r="CD37" s="57"/>
      <c r="CE37" s="47"/>
      <c r="CF37" s="47">
        <f t="shared" si="13"/>
        <v>103.05249999999999</v>
      </c>
    </row>
    <row r="38" spans="1:84" ht="14.25" customHeight="1">
      <c r="A38" s="47">
        <v>31</v>
      </c>
      <c r="B38" s="47" t="s">
        <v>129</v>
      </c>
      <c r="C38" s="48">
        <v>808001</v>
      </c>
      <c r="D38" s="49" t="s">
        <v>165</v>
      </c>
      <c r="E38" s="49" t="s">
        <v>131</v>
      </c>
      <c r="F38" s="50">
        <f t="shared" si="14"/>
        <v>122</v>
      </c>
      <c r="G38" s="50">
        <v>38</v>
      </c>
      <c r="H38" s="50"/>
      <c r="I38" s="50">
        <v>84</v>
      </c>
      <c r="J38" s="50"/>
      <c r="K38" s="50"/>
      <c r="L38" s="50"/>
      <c r="M38" s="50"/>
      <c r="N38" s="50">
        <v>1</v>
      </c>
      <c r="O38" s="50">
        <f t="shared" si="15"/>
        <v>123</v>
      </c>
      <c r="P38" s="51">
        <f t="shared" si="0"/>
        <v>1866.9067999999997</v>
      </c>
      <c r="Q38" s="51">
        <f t="shared" si="1"/>
        <v>1454.3587999999997</v>
      </c>
      <c r="R38" s="47">
        <f t="shared" si="16"/>
        <v>354671</v>
      </c>
      <c r="S38" s="58">
        <v>132812</v>
      </c>
      <c r="T38" s="51">
        <v>221859</v>
      </c>
      <c r="U38" s="47">
        <f t="shared" si="17"/>
        <v>425.60520000000002</v>
      </c>
      <c r="V38" s="51">
        <f t="shared" si="2"/>
        <v>85.5</v>
      </c>
      <c r="W38" s="47">
        <f t="shared" si="18"/>
        <v>85.5</v>
      </c>
      <c r="X38" s="47"/>
      <c r="Y38" s="47"/>
      <c r="Z38" s="47"/>
      <c r="AA38" s="47"/>
      <c r="AB38" s="51">
        <f t="shared" si="19"/>
        <v>196.8476</v>
      </c>
      <c r="AC38" s="47">
        <f t="shared" si="20"/>
        <v>13.2812</v>
      </c>
      <c r="AD38" s="47"/>
      <c r="AE38" s="47"/>
      <c r="AF38" s="47">
        <f t="shared" si="21"/>
        <v>183.56639999999999</v>
      </c>
      <c r="AG38" s="47">
        <v>152972</v>
      </c>
      <c r="AH38" s="47"/>
      <c r="AI38" s="47">
        <f t="shared" si="22"/>
        <v>217.56</v>
      </c>
      <c r="AJ38" s="53">
        <f t="shared" si="23"/>
        <v>148.08199999999999</v>
      </c>
      <c r="AK38" s="53">
        <f t="shared" si="24"/>
        <v>1480820</v>
      </c>
      <c r="AL38" s="47"/>
      <c r="AM38" s="47">
        <f t="shared" si="3"/>
        <v>61.944000000000003</v>
      </c>
      <c r="AN38" s="47">
        <f t="shared" si="4"/>
        <v>58.300699999999999</v>
      </c>
      <c r="AO38" s="47">
        <f t="shared" si="25"/>
        <v>583007</v>
      </c>
      <c r="AP38" s="47">
        <f t="shared" si="5"/>
        <v>3.6433</v>
      </c>
      <c r="AQ38" s="47">
        <f t="shared" si="26"/>
        <v>36433</v>
      </c>
      <c r="AR38" s="47"/>
      <c r="AS38" s="47">
        <f t="shared" si="27"/>
        <v>7.7584999999999997</v>
      </c>
      <c r="AT38" s="47">
        <f t="shared" si="6"/>
        <v>4.3719999999999999</v>
      </c>
      <c r="AU38" s="47">
        <f t="shared" si="28"/>
        <v>43720</v>
      </c>
      <c r="AV38" s="47">
        <f t="shared" si="7"/>
        <v>3.3864999999999998</v>
      </c>
      <c r="AW38" s="47">
        <f t="shared" si="29"/>
        <v>33865</v>
      </c>
      <c r="AX38" s="47">
        <f t="shared" si="8"/>
        <v>111.0615</v>
      </c>
      <c r="AY38" s="47"/>
      <c r="AZ38" s="47">
        <v>200</v>
      </c>
      <c r="BA38" s="54">
        <v>1E-4</v>
      </c>
      <c r="BB38" s="55" t="s">
        <v>165</v>
      </c>
      <c r="BC38" s="51">
        <f t="shared" si="30"/>
        <v>412.548</v>
      </c>
      <c r="BD38" s="47">
        <f t="shared" si="33"/>
        <v>126.24000000000001</v>
      </c>
      <c r="BE38" s="47">
        <f t="shared" si="31"/>
        <v>26.808</v>
      </c>
      <c r="BF38" s="47">
        <v>22340</v>
      </c>
      <c r="BG38" s="56">
        <v>177</v>
      </c>
      <c r="BH38" s="47">
        <v>82.5</v>
      </c>
      <c r="BI38" s="51">
        <f t="shared" si="10"/>
        <v>0</v>
      </c>
      <c r="BJ38" s="51">
        <f t="shared" si="11"/>
        <v>0</v>
      </c>
      <c r="BK38" s="47"/>
      <c r="BL38" s="47"/>
      <c r="BM38" s="47"/>
      <c r="BN38" s="47"/>
      <c r="BO38" s="47"/>
      <c r="BP38" s="47"/>
      <c r="BQ38" s="47"/>
      <c r="BR38" s="47"/>
      <c r="BS38" s="53"/>
      <c r="BT38" s="47"/>
      <c r="BU38" s="47"/>
      <c r="BV38" s="47"/>
      <c r="BW38" s="47"/>
      <c r="BX38" s="47"/>
      <c r="BY38" s="47"/>
      <c r="BZ38" s="47"/>
      <c r="CA38" s="47"/>
      <c r="CB38" s="54">
        <f t="shared" si="12"/>
        <v>1866.9067999999997</v>
      </c>
      <c r="CC38" s="47"/>
      <c r="CD38" s="57"/>
      <c r="CE38" s="47"/>
      <c r="CF38" s="47">
        <f t="shared" si="13"/>
        <v>1866.9067999999997</v>
      </c>
    </row>
    <row r="39" spans="1:84" ht="14.25" customHeight="1">
      <c r="A39" s="47">
        <v>32</v>
      </c>
      <c r="B39" s="47" t="s">
        <v>129</v>
      </c>
      <c r="C39" s="48">
        <v>808002</v>
      </c>
      <c r="D39" s="49" t="s">
        <v>166</v>
      </c>
      <c r="E39" s="49" t="s">
        <v>150</v>
      </c>
      <c r="F39" s="50">
        <f t="shared" si="14"/>
        <v>82</v>
      </c>
      <c r="G39" s="50"/>
      <c r="H39" s="50"/>
      <c r="I39" s="50">
        <v>82</v>
      </c>
      <c r="J39" s="50"/>
      <c r="K39" s="50"/>
      <c r="L39" s="50"/>
      <c r="M39" s="50"/>
      <c r="N39" s="50">
        <v>61</v>
      </c>
      <c r="O39" s="50">
        <f t="shared" si="15"/>
        <v>143</v>
      </c>
      <c r="P39" s="51">
        <f t="shared" si="0"/>
        <v>1211.4839999999999</v>
      </c>
      <c r="Q39" s="51">
        <f t="shared" si="1"/>
        <v>930.10799999999995</v>
      </c>
      <c r="R39" s="47">
        <f t="shared" si="16"/>
        <v>283473</v>
      </c>
      <c r="S39" s="58"/>
      <c r="T39" s="51">
        <v>283473</v>
      </c>
      <c r="U39" s="47">
        <f t="shared" si="17"/>
        <v>340.16759999999999</v>
      </c>
      <c r="V39" s="51">
        <f t="shared" si="2"/>
        <v>30</v>
      </c>
      <c r="W39" s="47">
        <f t="shared" si="18"/>
        <v>0</v>
      </c>
      <c r="X39" s="47"/>
      <c r="Y39" s="47"/>
      <c r="Z39" s="47"/>
      <c r="AA39" s="47">
        <v>30</v>
      </c>
      <c r="AB39" s="51">
        <f t="shared" si="19"/>
        <v>108</v>
      </c>
      <c r="AC39" s="47">
        <f t="shared" si="20"/>
        <v>0</v>
      </c>
      <c r="AD39" s="47"/>
      <c r="AE39" s="47"/>
      <c r="AF39" s="47">
        <f t="shared" si="21"/>
        <v>108</v>
      </c>
      <c r="AG39" s="47">
        <v>90000</v>
      </c>
      <c r="AH39" s="47"/>
      <c r="AI39" s="47">
        <f t="shared" si="22"/>
        <v>212.38</v>
      </c>
      <c r="AJ39" s="53">
        <f t="shared" si="23"/>
        <v>105.6876</v>
      </c>
      <c r="AK39" s="53">
        <f t="shared" si="24"/>
        <v>1056876</v>
      </c>
      <c r="AL39" s="47"/>
      <c r="AM39" s="47">
        <f t="shared" si="3"/>
        <v>47.423999999999999</v>
      </c>
      <c r="AN39" s="47">
        <f t="shared" si="4"/>
        <v>44.661299999999997</v>
      </c>
      <c r="AO39" s="47">
        <f t="shared" si="25"/>
        <v>446613</v>
      </c>
      <c r="AP39" s="47">
        <f t="shared" si="5"/>
        <v>2.7627000000000002</v>
      </c>
      <c r="AQ39" s="47">
        <f t="shared" si="26"/>
        <v>27627</v>
      </c>
      <c r="AR39" s="47"/>
      <c r="AS39" s="47">
        <f t="shared" si="27"/>
        <v>7.1830999999999996</v>
      </c>
      <c r="AT39" s="47">
        <f t="shared" si="6"/>
        <v>3.3153000000000001</v>
      </c>
      <c r="AU39" s="47">
        <f t="shared" si="28"/>
        <v>33153</v>
      </c>
      <c r="AV39" s="47">
        <f t="shared" si="7"/>
        <v>3.8677999999999999</v>
      </c>
      <c r="AW39" s="47">
        <f t="shared" si="29"/>
        <v>38678</v>
      </c>
      <c r="AX39" s="47">
        <f t="shared" si="8"/>
        <v>79.265699999999995</v>
      </c>
      <c r="AY39" s="47"/>
      <c r="AZ39" s="47"/>
      <c r="BA39" s="54">
        <v>1E-4</v>
      </c>
      <c r="BB39" s="55" t="s">
        <v>166</v>
      </c>
      <c r="BC39" s="51">
        <f t="shared" si="30"/>
        <v>264.72000000000003</v>
      </c>
      <c r="BD39" s="47">
        <f t="shared" si="33"/>
        <v>78.72</v>
      </c>
      <c r="BE39" s="47">
        <f t="shared" si="31"/>
        <v>0</v>
      </c>
      <c r="BF39" s="47"/>
      <c r="BG39" s="56">
        <v>186</v>
      </c>
      <c r="BH39" s="47"/>
      <c r="BI39" s="51">
        <f t="shared" si="10"/>
        <v>16.655999999999999</v>
      </c>
      <c r="BJ39" s="51">
        <f t="shared" si="11"/>
        <v>0</v>
      </c>
      <c r="BK39" s="47"/>
      <c r="BL39" s="47"/>
      <c r="BM39" s="47"/>
      <c r="BN39" s="47"/>
      <c r="BO39" s="47"/>
      <c r="BP39" s="47">
        <v>1.6559999999999999</v>
      </c>
      <c r="BQ39" s="47"/>
      <c r="BR39" s="47"/>
      <c r="BS39" s="53"/>
      <c r="BT39" s="47"/>
      <c r="BU39" s="47"/>
      <c r="BV39" s="47"/>
      <c r="BW39" s="47">
        <v>15</v>
      </c>
      <c r="BX39" s="47">
        <v>801.7</v>
      </c>
      <c r="BY39" s="47"/>
      <c r="BZ39" s="47"/>
      <c r="CA39" s="47"/>
      <c r="CB39" s="54">
        <f t="shared" si="12"/>
        <v>2013.184</v>
      </c>
      <c r="CC39" s="47"/>
      <c r="CD39" s="57"/>
      <c r="CE39" s="47"/>
      <c r="CF39" s="47">
        <f t="shared" si="13"/>
        <v>2013.184</v>
      </c>
    </row>
    <row r="40" spans="1:84" ht="14.25" customHeight="1">
      <c r="A40" s="47">
        <v>33</v>
      </c>
      <c r="B40" s="47" t="s">
        <v>129</v>
      </c>
      <c r="C40" s="48">
        <v>813001</v>
      </c>
      <c r="D40" s="49" t="s">
        <v>167</v>
      </c>
      <c r="E40" s="49" t="s">
        <v>131</v>
      </c>
      <c r="F40" s="50">
        <f t="shared" si="14"/>
        <v>55</v>
      </c>
      <c r="G40" s="50">
        <v>41</v>
      </c>
      <c r="H40" s="50">
        <v>5</v>
      </c>
      <c r="I40" s="50">
        <v>3</v>
      </c>
      <c r="J40" s="50">
        <v>6</v>
      </c>
      <c r="K40" s="50"/>
      <c r="L40" s="50"/>
      <c r="M40" s="50"/>
      <c r="N40" s="50">
        <v>61</v>
      </c>
      <c r="O40" s="50">
        <f t="shared" si="15"/>
        <v>116</v>
      </c>
      <c r="P40" s="51">
        <f t="shared" si="0"/>
        <v>875.47789999999998</v>
      </c>
      <c r="Q40" s="51">
        <f t="shared" si="1"/>
        <v>625.43389999999999</v>
      </c>
      <c r="R40" s="47">
        <f t="shared" si="16"/>
        <v>189866</v>
      </c>
      <c r="S40" s="58">
        <v>166211</v>
      </c>
      <c r="T40" s="51">
        <v>23655</v>
      </c>
      <c r="U40" s="47">
        <f t="shared" si="17"/>
        <v>227.83920000000001</v>
      </c>
      <c r="V40" s="51">
        <f t="shared" si="2"/>
        <v>103.5</v>
      </c>
      <c r="W40" s="47">
        <f t="shared" si="18"/>
        <v>103.5</v>
      </c>
      <c r="X40" s="47"/>
      <c r="Y40" s="47"/>
      <c r="Z40" s="47"/>
      <c r="AA40" s="47"/>
      <c r="AB40" s="51">
        <f t="shared" si="19"/>
        <v>108.11749999999999</v>
      </c>
      <c r="AC40" s="47">
        <f t="shared" si="20"/>
        <v>16.621099999999998</v>
      </c>
      <c r="AD40" s="47"/>
      <c r="AE40" s="47"/>
      <c r="AF40" s="47">
        <f t="shared" si="21"/>
        <v>91.496399999999994</v>
      </c>
      <c r="AG40" s="47">
        <v>76247</v>
      </c>
      <c r="AH40" s="47"/>
      <c r="AI40" s="47">
        <f t="shared" si="22"/>
        <v>23.31</v>
      </c>
      <c r="AJ40" s="53">
        <f t="shared" si="23"/>
        <v>74.042699999999996</v>
      </c>
      <c r="AK40" s="53">
        <f t="shared" si="24"/>
        <v>740427</v>
      </c>
      <c r="AL40" s="47"/>
      <c r="AM40" s="47">
        <f t="shared" si="3"/>
        <v>30.602699999999999</v>
      </c>
      <c r="AN40" s="47">
        <f t="shared" si="4"/>
        <v>28.8294</v>
      </c>
      <c r="AO40" s="47">
        <f t="shared" si="25"/>
        <v>288294</v>
      </c>
      <c r="AP40" s="47">
        <f t="shared" si="5"/>
        <v>1.7732000000000001</v>
      </c>
      <c r="AQ40" s="47">
        <f t="shared" si="26"/>
        <v>17732</v>
      </c>
      <c r="AR40" s="47"/>
      <c r="AS40" s="47">
        <f t="shared" si="27"/>
        <v>2.4897999999999998</v>
      </c>
      <c r="AT40" s="47">
        <f t="shared" si="6"/>
        <v>2.1278999999999999</v>
      </c>
      <c r="AU40" s="47">
        <f t="shared" si="28"/>
        <v>21279</v>
      </c>
      <c r="AV40" s="47">
        <f t="shared" si="7"/>
        <v>0.3619</v>
      </c>
      <c r="AW40" s="47">
        <f t="shared" si="29"/>
        <v>3619</v>
      </c>
      <c r="AX40" s="47">
        <f t="shared" si="8"/>
        <v>55.531999999999996</v>
      </c>
      <c r="AY40" s="47"/>
      <c r="AZ40" s="47"/>
      <c r="BA40" s="54">
        <v>1E-4</v>
      </c>
      <c r="BB40" s="55" t="s">
        <v>167</v>
      </c>
      <c r="BC40" s="51">
        <f t="shared" si="30"/>
        <v>241.76400000000001</v>
      </c>
      <c r="BD40" s="47">
        <f t="shared" si="33"/>
        <v>63.839999999999996</v>
      </c>
      <c r="BE40" s="47">
        <f t="shared" si="31"/>
        <v>33.923999999999999</v>
      </c>
      <c r="BF40" s="47">
        <v>28270</v>
      </c>
      <c r="BG40" s="56">
        <f>16+128</f>
        <v>144</v>
      </c>
      <c r="BH40" s="47"/>
      <c r="BI40" s="51">
        <f t="shared" si="10"/>
        <v>8.2799999999999994</v>
      </c>
      <c r="BJ40" s="51">
        <f t="shared" si="11"/>
        <v>0</v>
      </c>
      <c r="BK40" s="47"/>
      <c r="BL40" s="47"/>
      <c r="BM40" s="47"/>
      <c r="BN40" s="47"/>
      <c r="BO40" s="47"/>
      <c r="BP40" s="47">
        <v>8.2799999999999994</v>
      </c>
      <c r="BQ40" s="47"/>
      <c r="BR40" s="47"/>
      <c r="BS40" s="53"/>
      <c r="BT40" s="47"/>
      <c r="BU40" s="47"/>
      <c r="BV40" s="47"/>
      <c r="BW40" s="47"/>
      <c r="BX40" s="47">
        <v>312</v>
      </c>
      <c r="BY40" s="47"/>
      <c r="BZ40" s="47"/>
      <c r="CA40" s="47"/>
      <c r="CB40" s="54">
        <f t="shared" si="12"/>
        <v>1187.4778999999999</v>
      </c>
      <c r="CC40" s="47"/>
      <c r="CD40" s="57"/>
      <c r="CE40" s="47"/>
      <c r="CF40" s="47">
        <f t="shared" si="13"/>
        <v>1187.4778999999999</v>
      </c>
    </row>
    <row r="41" spans="1:84" ht="14.25" customHeight="1">
      <c r="A41" s="47">
        <v>34</v>
      </c>
      <c r="B41" s="47" t="s">
        <v>129</v>
      </c>
      <c r="C41" s="48">
        <v>803001</v>
      </c>
      <c r="D41" s="49" t="s">
        <v>168</v>
      </c>
      <c r="E41" s="49" t="s">
        <v>131</v>
      </c>
      <c r="F41" s="50">
        <f t="shared" si="14"/>
        <v>45</v>
      </c>
      <c r="G41" s="50">
        <v>25</v>
      </c>
      <c r="H41" s="50"/>
      <c r="I41" s="50">
        <v>20</v>
      </c>
      <c r="J41" s="50"/>
      <c r="K41" s="50"/>
      <c r="L41" s="50"/>
      <c r="M41" s="50"/>
      <c r="N41" s="50">
        <v>25</v>
      </c>
      <c r="O41" s="50">
        <f t="shared" si="15"/>
        <v>70</v>
      </c>
      <c r="P41" s="51">
        <f t="shared" si="0"/>
        <v>801.30420000000004</v>
      </c>
      <c r="Q41" s="51">
        <f t="shared" si="1"/>
        <v>538.09460000000001</v>
      </c>
      <c r="R41" s="47">
        <f t="shared" si="16"/>
        <v>170284</v>
      </c>
      <c r="S41" s="58">
        <v>106729</v>
      </c>
      <c r="T41" s="51">
        <v>63555</v>
      </c>
      <c r="U41" s="47">
        <f t="shared" si="17"/>
        <v>204.3408</v>
      </c>
      <c r="V41" s="51">
        <f t="shared" si="2"/>
        <v>56.25</v>
      </c>
      <c r="W41" s="47">
        <f t="shared" si="18"/>
        <v>56.25</v>
      </c>
      <c r="X41" s="47"/>
      <c r="Y41" s="47"/>
      <c r="Z41" s="47"/>
      <c r="AA41" s="47"/>
      <c r="AB41" s="51">
        <f t="shared" si="19"/>
        <v>84.939700000000002</v>
      </c>
      <c r="AC41" s="47">
        <f t="shared" si="20"/>
        <v>10.6729</v>
      </c>
      <c r="AD41" s="47"/>
      <c r="AE41" s="47"/>
      <c r="AF41" s="47">
        <f t="shared" si="21"/>
        <v>74.266800000000003</v>
      </c>
      <c r="AG41" s="47">
        <v>61889</v>
      </c>
      <c r="AH41" s="47"/>
      <c r="AI41" s="47">
        <f t="shared" si="22"/>
        <v>51.8</v>
      </c>
      <c r="AJ41" s="53">
        <f t="shared" si="23"/>
        <v>63.572899999999997</v>
      </c>
      <c r="AK41" s="53">
        <f t="shared" si="24"/>
        <v>635729</v>
      </c>
      <c r="AL41" s="47"/>
      <c r="AM41" s="47">
        <f t="shared" si="3"/>
        <v>26.7407</v>
      </c>
      <c r="AN41" s="47">
        <f t="shared" si="4"/>
        <v>25.178799999999999</v>
      </c>
      <c r="AO41" s="47">
        <f t="shared" si="25"/>
        <v>251788</v>
      </c>
      <c r="AP41" s="47">
        <f t="shared" si="5"/>
        <v>1.5620000000000001</v>
      </c>
      <c r="AQ41" s="47">
        <f t="shared" si="26"/>
        <v>15620</v>
      </c>
      <c r="AR41" s="47"/>
      <c r="AS41" s="47">
        <f t="shared" si="27"/>
        <v>2.7707999999999999</v>
      </c>
      <c r="AT41" s="47">
        <f t="shared" si="6"/>
        <v>1.8743000000000001</v>
      </c>
      <c r="AU41" s="47">
        <f t="shared" si="28"/>
        <v>18743</v>
      </c>
      <c r="AV41" s="47">
        <f t="shared" si="7"/>
        <v>0.89649999999999996</v>
      </c>
      <c r="AW41" s="47">
        <f t="shared" si="29"/>
        <v>8965</v>
      </c>
      <c r="AX41" s="47">
        <f t="shared" si="8"/>
        <v>47.679699999999997</v>
      </c>
      <c r="AY41" s="47"/>
      <c r="AZ41" s="47"/>
      <c r="BA41" s="54">
        <v>1E-4</v>
      </c>
      <c r="BB41" s="55" t="s">
        <v>168</v>
      </c>
      <c r="BC41" s="51">
        <f t="shared" si="30"/>
        <v>260.36799999999999</v>
      </c>
      <c r="BD41" s="47">
        <f t="shared" si="33"/>
        <v>49.2</v>
      </c>
      <c r="BE41" s="47">
        <f t="shared" si="31"/>
        <v>21.167999999999999</v>
      </c>
      <c r="BF41" s="47">
        <v>17640</v>
      </c>
      <c r="BG41" s="56">
        <v>97</v>
      </c>
      <c r="BH41" s="47">
        <v>93</v>
      </c>
      <c r="BI41" s="51">
        <f t="shared" si="10"/>
        <v>2.8416000000000001</v>
      </c>
      <c r="BJ41" s="51">
        <f t="shared" si="11"/>
        <v>0</v>
      </c>
      <c r="BK41" s="47"/>
      <c r="BL41" s="47"/>
      <c r="BM41" s="47"/>
      <c r="BN41" s="47"/>
      <c r="BO41" s="47"/>
      <c r="BP41" s="47">
        <v>2.8416000000000001</v>
      </c>
      <c r="BQ41" s="47"/>
      <c r="BR41" s="47"/>
      <c r="BS41" s="53"/>
      <c r="BT41" s="47"/>
      <c r="BU41" s="47"/>
      <c r="BV41" s="47"/>
      <c r="BW41" s="47"/>
      <c r="BX41" s="47">
        <v>1850</v>
      </c>
      <c r="BY41" s="47">
        <v>570</v>
      </c>
      <c r="BZ41" s="47">
        <v>3189.7</v>
      </c>
      <c r="CA41" s="47"/>
      <c r="CB41" s="54">
        <f t="shared" si="12"/>
        <v>6411.0041999999994</v>
      </c>
      <c r="CC41" s="47">
        <v>180</v>
      </c>
      <c r="CD41" s="57"/>
      <c r="CE41" s="47"/>
      <c r="CF41" s="47">
        <f t="shared" si="13"/>
        <v>6591.0041999999994</v>
      </c>
    </row>
    <row r="42" spans="1:84" ht="14.25" customHeight="1">
      <c r="A42" s="47">
        <v>35</v>
      </c>
      <c r="B42" s="47" t="s">
        <v>129</v>
      </c>
      <c r="C42" s="48">
        <v>803002</v>
      </c>
      <c r="D42" s="49" t="s">
        <v>169</v>
      </c>
      <c r="E42" s="49" t="s">
        <v>141</v>
      </c>
      <c r="F42" s="50">
        <f t="shared" si="14"/>
        <v>32</v>
      </c>
      <c r="G42" s="50"/>
      <c r="H42" s="50"/>
      <c r="I42" s="50">
        <v>14</v>
      </c>
      <c r="J42" s="50">
        <v>18</v>
      </c>
      <c r="K42" s="50"/>
      <c r="L42" s="50"/>
      <c r="M42" s="50"/>
      <c r="N42" s="50">
        <v>9</v>
      </c>
      <c r="O42" s="50">
        <f t="shared" si="15"/>
        <v>41</v>
      </c>
      <c r="P42" s="51">
        <f t="shared" si="0"/>
        <v>436.59999999999997</v>
      </c>
      <c r="Q42" s="51">
        <f t="shared" si="1"/>
        <v>324.25200000000001</v>
      </c>
      <c r="R42" s="47">
        <f t="shared" si="16"/>
        <v>91312</v>
      </c>
      <c r="S42" s="58"/>
      <c r="T42" s="51">
        <v>91312</v>
      </c>
      <c r="U42" s="47">
        <f t="shared" si="17"/>
        <v>109.5744</v>
      </c>
      <c r="V42" s="51">
        <f t="shared" si="2"/>
        <v>0</v>
      </c>
      <c r="W42" s="47">
        <f t="shared" si="18"/>
        <v>0</v>
      </c>
      <c r="X42" s="47"/>
      <c r="Y42" s="47"/>
      <c r="Z42" s="47"/>
      <c r="AA42" s="47"/>
      <c r="AB42" s="51">
        <f t="shared" si="19"/>
        <v>46.08</v>
      </c>
      <c r="AC42" s="47">
        <f t="shared" si="20"/>
        <v>0</v>
      </c>
      <c r="AD42" s="47"/>
      <c r="AE42" s="47"/>
      <c r="AF42" s="47">
        <f t="shared" si="21"/>
        <v>46.08</v>
      </c>
      <c r="AG42" s="47">
        <f>22800+15600</f>
        <v>38400</v>
      </c>
      <c r="AH42" s="47"/>
      <c r="AI42" s="47">
        <f t="shared" si="22"/>
        <v>82.88</v>
      </c>
      <c r="AJ42" s="53">
        <f t="shared" si="23"/>
        <v>38.165500000000002</v>
      </c>
      <c r="AK42" s="53">
        <f t="shared" si="24"/>
        <v>381655</v>
      </c>
      <c r="AL42" s="47"/>
      <c r="AM42" s="47">
        <f t="shared" si="3"/>
        <v>16.426100000000002</v>
      </c>
      <c r="AN42" s="47">
        <f t="shared" si="4"/>
        <v>15.463900000000001</v>
      </c>
      <c r="AO42" s="47">
        <f t="shared" si="25"/>
        <v>154639</v>
      </c>
      <c r="AP42" s="47">
        <f t="shared" si="5"/>
        <v>0.96230000000000004</v>
      </c>
      <c r="AQ42" s="47">
        <f t="shared" si="26"/>
        <v>9623</v>
      </c>
      <c r="AR42" s="47"/>
      <c r="AS42" s="47">
        <f t="shared" si="27"/>
        <v>2.5019</v>
      </c>
      <c r="AT42" s="47">
        <f t="shared" si="6"/>
        <v>1.1547000000000001</v>
      </c>
      <c r="AU42" s="47">
        <f t="shared" si="28"/>
        <v>11547</v>
      </c>
      <c r="AV42" s="47">
        <f t="shared" si="7"/>
        <v>1.3472</v>
      </c>
      <c r="AW42" s="47">
        <f t="shared" si="29"/>
        <v>13472</v>
      </c>
      <c r="AX42" s="47">
        <f t="shared" si="8"/>
        <v>28.624099999999999</v>
      </c>
      <c r="AY42" s="47"/>
      <c r="AZ42" s="47"/>
      <c r="BA42" s="54">
        <v>1E-4</v>
      </c>
      <c r="BB42" s="55" t="s">
        <v>169</v>
      </c>
      <c r="BC42" s="51">
        <f t="shared" si="30"/>
        <v>111.52</v>
      </c>
      <c r="BD42" s="47">
        <f t="shared" si="33"/>
        <v>30.72</v>
      </c>
      <c r="BE42" s="47">
        <f t="shared" si="31"/>
        <v>0</v>
      </c>
      <c r="BF42" s="47"/>
      <c r="BG42" s="56">
        <v>77</v>
      </c>
      <c r="BH42" s="47">
        <v>3.8</v>
      </c>
      <c r="BI42" s="51">
        <f t="shared" si="10"/>
        <v>0.82799999999999996</v>
      </c>
      <c r="BJ42" s="51">
        <f t="shared" si="11"/>
        <v>0</v>
      </c>
      <c r="BK42" s="47"/>
      <c r="BL42" s="47"/>
      <c r="BM42" s="47"/>
      <c r="BN42" s="47"/>
      <c r="BO42" s="47"/>
      <c r="BP42" s="47">
        <v>0.82799999999999996</v>
      </c>
      <c r="BQ42" s="47"/>
      <c r="BR42" s="47"/>
      <c r="BS42" s="53"/>
      <c r="BT42" s="47"/>
      <c r="BU42" s="47"/>
      <c r="BV42" s="47"/>
      <c r="BW42" s="47"/>
      <c r="BX42" s="47"/>
      <c r="BY42" s="47"/>
      <c r="BZ42" s="47"/>
      <c r="CA42" s="47"/>
      <c r="CB42" s="54">
        <f t="shared" si="12"/>
        <v>436.59999999999997</v>
      </c>
      <c r="CC42" s="47"/>
      <c r="CD42" s="57"/>
      <c r="CE42" s="47"/>
      <c r="CF42" s="47">
        <f t="shared" si="13"/>
        <v>436.59999999999997</v>
      </c>
    </row>
    <row r="43" spans="1:84" ht="14.25" customHeight="1">
      <c r="A43" s="47">
        <v>36</v>
      </c>
      <c r="B43" s="47" t="s">
        <v>129</v>
      </c>
      <c r="C43" s="48">
        <v>803003</v>
      </c>
      <c r="D43" s="49" t="s">
        <v>170</v>
      </c>
      <c r="E43" s="49" t="s">
        <v>150</v>
      </c>
      <c r="F43" s="50">
        <f t="shared" si="14"/>
        <v>8</v>
      </c>
      <c r="G43" s="50"/>
      <c r="H43" s="50"/>
      <c r="I43" s="50">
        <v>4</v>
      </c>
      <c r="J43" s="50">
        <v>4</v>
      </c>
      <c r="K43" s="50"/>
      <c r="L43" s="50"/>
      <c r="M43" s="50"/>
      <c r="N43" s="50"/>
      <c r="O43" s="50">
        <f t="shared" si="15"/>
        <v>8</v>
      </c>
      <c r="P43" s="51">
        <f t="shared" si="0"/>
        <v>123.9781</v>
      </c>
      <c r="Q43" s="51">
        <f t="shared" si="1"/>
        <v>95.128100000000003</v>
      </c>
      <c r="R43" s="47">
        <f t="shared" si="16"/>
        <v>31344</v>
      </c>
      <c r="S43" s="58"/>
      <c r="T43" s="51">
        <v>31344</v>
      </c>
      <c r="U43" s="47">
        <f t="shared" si="17"/>
        <v>37.6128</v>
      </c>
      <c r="V43" s="51">
        <f t="shared" si="2"/>
        <v>0</v>
      </c>
      <c r="W43" s="47">
        <f t="shared" si="18"/>
        <v>0</v>
      </c>
      <c r="X43" s="47"/>
      <c r="Y43" s="47"/>
      <c r="Z43" s="47"/>
      <c r="AA43" s="47"/>
      <c r="AB43" s="51">
        <f t="shared" si="19"/>
        <v>11.52</v>
      </c>
      <c r="AC43" s="47">
        <f t="shared" si="20"/>
        <v>0</v>
      </c>
      <c r="AD43" s="47"/>
      <c r="AE43" s="47"/>
      <c r="AF43" s="47">
        <f t="shared" si="21"/>
        <v>11.52</v>
      </c>
      <c r="AG43" s="47">
        <v>9600</v>
      </c>
      <c r="AH43" s="47"/>
      <c r="AI43" s="47">
        <f t="shared" si="22"/>
        <v>20.72</v>
      </c>
      <c r="AJ43" s="53">
        <f t="shared" si="23"/>
        <v>11.176399999999999</v>
      </c>
      <c r="AK43" s="53">
        <f t="shared" si="24"/>
        <v>111763.99999999999</v>
      </c>
      <c r="AL43" s="47"/>
      <c r="AM43" s="47">
        <f t="shared" si="3"/>
        <v>4.9583000000000004</v>
      </c>
      <c r="AN43" s="47">
        <f t="shared" si="4"/>
        <v>4.6665999999999999</v>
      </c>
      <c r="AO43" s="47">
        <f t="shared" si="25"/>
        <v>46666</v>
      </c>
      <c r="AP43" s="47">
        <f t="shared" si="5"/>
        <v>0.29170000000000001</v>
      </c>
      <c r="AQ43" s="47">
        <f t="shared" si="26"/>
        <v>2917</v>
      </c>
      <c r="AR43" s="47"/>
      <c r="AS43" s="47">
        <f t="shared" si="27"/>
        <v>0.75829999999999997</v>
      </c>
      <c r="AT43" s="47">
        <f t="shared" si="6"/>
        <v>0.35</v>
      </c>
      <c r="AU43" s="47">
        <f t="shared" si="28"/>
        <v>3500</v>
      </c>
      <c r="AV43" s="47">
        <f t="shared" si="7"/>
        <v>0.4083</v>
      </c>
      <c r="AW43" s="47">
        <f t="shared" si="29"/>
        <v>4083</v>
      </c>
      <c r="AX43" s="47">
        <f t="shared" si="8"/>
        <v>8.3823000000000008</v>
      </c>
      <c r="AY43" s="47"/>
      <c r="AZ43" s="47"/>
      <c r="BA43" s="54">
        <v>1E-4</v>
      </c>
      <c r="BB43" s="49" t="s">
        <v>170</v>
      </c>
      <c r="BC43" s="51">
        <f t="shared" si="30"/>
        <v>27.68</v>
      </c>
      <c r="BD43" s="47">
        <f t="shared" si="33"/>
        <v>7.68</v>
      </c>
      <c r="BE43" s="47">
        <f t="shared" si="31"/>
        <v>0</v>
      </c>
      <c r="BF43" s="47"/>
      <c r="BG43" s="56">
        <v>20</v>
      </c>
      <c r="BH43" s="47"/>
      <c r="BI43" s="51">
        <f t="shared" si="10"/>
        <v>1.17</v>
      </c>
      <c r="BJ43" s="51">
        <f t="shared" si="11"/>
        <v>0</v>
      </c>
      <c r="BK43" s="47"/>
      <c r="BL43" s="47"/>
      <c r="BM43" s="47"/>
      <c r="BN43" s="47"/>
      <c r="BO43" s="47"/>
      <c r="BP43" s="47">
        <v>1.17</v>
      </c>
      <c r="BQ43" s="47"/>
      <c r="BR43" s="47"/>
      <c r="BS43" s="53"/>
      <c r="BT43" s="47"/>
      <c r="BU43" s="47"/>
      <c r="BV43" s="47"/>
      <c r="BW43" s="47"/>
      <c r="BX43" s="47"/>
      <c r="BY43" s="47"/>
      <c r="BZ43" s="47"/>
      <c r="CA43" s="47"/>
      <c r="CB43" s="54">
        <f t="shared" si="12"/>
        <v>123.9781</v>
      </c>
      <c r="CC43" s="47"/>
      <c r="CD43" s="57"/>
      <c r="CE43" s="47"/>
      <c r="CF43" s="47">
        <f t="shared" si="13"/>
        <v>123.9781</v>
      </c>
    </row>
    <row r="44" spans="1:84" ht="14.25" customHeight="1">
      <c r="A44" s="47">
        <v>37</v>
      </c>
      <c r="B44" s="47" t="s">
        <v>129</v>
      </c>
      <c r="C44" s="48">
        <v>803006</v>
      </c>
      <c r="D44" s="49" t="s">
        <v>171</v>
      </c>
      <c r="E44" s="49" t="s">
        <v>150</v>
      </c>
      <c r="F44" s="50">
        <f t="shared" si="14"/>
        <v>6</v>
      </c>
      <c r="G44" s="50"/>
      <c r="H44" s="50"/>
      <c r="I44" s="50">
        <v>4</v>
      </c>
      <c r="J44" s="50">
        <v>2</v>
      </c>
      <c r="K44" s="50"/>
      <c r="L44" s="50"/>
      <c r="M44" s="50"/>
      <c r="N44" s="50"/>
      <c r="O44" s="50">
        <f t="shared" si="15"/>
        <v>6</v>
      </c>
      <c r="P44" s="51">
        <f t="shared" si="0"/>
        <v>95.135500000000008</v>
      </c>
      <c r="Q44" s="51">
        <f t="shared" si="1"/>
        <v>66.375500000000002</v>
      </c>
      <c r="R44" s="47">
        <f t="shared" si="16"/>
        <v>20502</v>
      </c>
      <c r="S44" s="58"/>
      <c r="T44" s="51">
        <v>20502</v>
      </c>
      <c r="U44" s="47">
        <f t="shared" si="17"/>
        <v>24.602399999999999</v>
      </c>
      <c r="V44" s="51">
        <f t="shared" si="2"/>
        <v>0</v>
      </c>
      <c r="W44" s="47">
        <f t="shared" si="18"/>
        <v>0</v>
      </c>
      <c r="X44" s="47"/>
      <c r="Y44" s="47"/>
      <c r="Z44" s="47"/>
      <c r="AA44" s="47"/>
      <c r="AB44" s="51">
        <f t="shared" si="19"/>
        <v>8.64</v>
      </c>
      <c r="AC44" s="47">
        <f t="shared" si="20"/>
        <v>0</v>
      </c>
      <c r="AD44" s="47"/>
      <c r="AE44" s="47"/>
      <c r="AF44" s="47">
        <f t="shared" si="21"/>
        <v>8.64</v>
      </c>
      <c r="AG44" s="47">
        <v>7200</v>
      </c>
      <c r="AH44" s="47"/>
      <c r="AI44" s="47">
        <f t="shared" si="22"/>
        <v>15.54</v>
      </c>
      <c r="AJ44" s="53">
        <f t="shared" si="23"/>
        <v>7.8052000000000001</v>
      </c>
      <c r="AK44" s="53">
        <f t="shared" si="24"/>
        <v>78052</v>
      </c>
      <c r="AL44" s="47"/>
      <c r="AM44" s="47">
        <f t="shared" si="3"/>
        <v>3.4121000000000001</v>
      </c>
      <c r="AN44" s="47">
        <f t="shared" si="4"/>
        <v>3.2113999999999998</v>
      </c>
      <c r="AO44" s="47">
        <f t="shared" si="25"/>
        <v>32113.999999999996</v>
      </c>
      <c r="AP44" s="47">
        <f t="shared" si="5"/>
        <v>0.20069999999999999</v>
      </c>
      <c r="AQ44" s="47">
        <f t="shared" si="26"/>
        <v>2007</v>
      </c>
      <c r="AR44" s="47"/>
      <c r="AS44" s="47">
        <f t="shared" si="27"/>
        <v>0.52190000000000003</v>
      </c>
      <c r="AT44" s="47">
        <f t="shared" si="6"/>
        <v>0.2409</v>
      </c>
      <c r="AU44" s="47">
        <f t="shared" si="28"/>
        <v>2409</v>
      </c>
      <c r="AV44" s="47">
        <f t="shared" si="7"/>
        <v>0.28100000000000003</v>
      </c>
      <c r="AW44" s="47">
        <f t="shared" si="29"/>
        <v>2810.0000000000005</v>
      </c>
      <c r="AX44" s="47">
        <f t="shared" si="8"/>
        <v>5.8539000000000003</v>
      </c>
      <c r="AY44" s="47"/>
      <c r="AZ44" s="47"/>
      <c r="BA44" s="54">
        <v>1E-4</v>
      </c>
      <c r="BB44" s="55" t="s">
        <v>171</v>
      </c>
      <c r="BC44" s="51">
        <f t="shared" si="30"/>
        <v>28.759999999999998</v>
      </c>
      <c r="BD44" s="47">
        <f t="shared" si="33"/>
        <v>5.76</v>
      </c>
      <c r="BE44" s="47">
        <f t="shared" si="31"/>
        <v>0</v>
      </c>
      <c r="BF44" s="47"/>
      <c r="BG44" s="56">
        <v>23</v>
      </c>
      <c r="BH44" s="47"/>
      <c r="BI44" s="51">
        <f t="shared" si="10"/>
        <v>0</v>
      </c>
      <c r="BJ44" s="51">
        <f t="shared" si="11"/>
        <v>0</v>
      </c>
      <c r="BK44" s="47"/>
      <c r="BL44" s="47"/>
      <c r="BM44" s="47"/>
      <c r="BN44" s="47"/>
      <c r="BO44" s="47"/>
      <c r="BP44" s="47"/>
      <c r="BQ44" s="47"/>
      <c r="BR44" s="47"/>
      <c r="BS44" s="53"/>
      <c r="BT44" s="47"/>
      <c r="BU44" s="47"/>
      <c r="BV44" s="47"/>
      <c r="BW44" s="47"/>
      <c r="BX44" s="47"/>
      <c r="BY44" s="47"/>
      <c r="BZ44" s="47"/>
      <c r="CA44" s="47"/>
      <c r="CB44" s="54">
        <f t="shared" si="12"/>
        <v>95.135500000000008</v>
      </c>
      <c r="CC44" s="47"/>
      <c r="CD44" s="57"/>
      <c r="CE44" s="47"/>
      <c r="CF44" s="47">
        <f t="shared" si="13"/>
        <v>95.135500000000008</v>
      </c>
    </row>
    <row r="45" spans="1:84" ht="14.25" customHeight="1">
      <c r="A45" s="47">
        <v>38</v>
      </c>
      <c r="B45" s="47" t="s">
        <v>129</v>
      </c>
      <c r="C45" s="48">
        <v>803005</v>
      </c>
      <c r="D45" s="59" t="s">
        <v>172</v>
      </c>
      <c r="E45" s="59" t="s">
        <v>150</v>
      </c>
      <c r="F45" s="50">
        <f t="shared" si="14"/>
        <v>5</v>
      </c>
      <c r="G45" s="50"/>
      <c r="H45" s="50"/>
      <c r="I45" s="50">
        <v>4</v>
      </c>
      <c r="J45" s="50">
        <v>1</v>
      </c>
      <c r="K45" s="50"/>
      <c r="L45" s="50"/>
      <c r="M45" s="50"/>
      <c r="N45" s="50"/>
      <c r="O45" s="50">
        <f t="shared" si="15"/>
        <v>5</v>
      </c>
      <c r="P45" s="51">
        <f t="shared" si="0"/>
        <v>97.7483</v>
      </c>
      <c r="Q45" s="51">
        <f t="shared" si="1"/>
        <v>52.948299999999996</v>
      </c>
      <c r="R45" s="47">
        <f t="shared" si="16"/>
        <v>15655</v>
      </c>
      <c r="S45" s="58"/>
      <c r="T45" s="58">
        <v>15655</v>
      </c>
      <c r="U45" s="47">
        <f t="shared" si="17"/>
        <v>18.786000000000001</v>
      </c>
      <c r="V45" s="51">
        <f t="shared" si="2"/>
        <v>0</v>
      </c>
      <c r="W45" s="47">
        <f t="shared" si="18"/>
        <v>0</v>
      </c>
      <c r="X45" s="47"/>
      <c r="Y45" s="47"/>
      <c r="Z45" s="47"/>
      <c r="AA45" s="47"/>
      <c r="AB45" s="51">
        <f t="shared" si="19"/>
        <v>7.2</v>
      </c>
      <c r="AC45" s="47">
        <f t="shared" si="20"/>
        <v>0</v>
      </c>
      <c r="AD45" s="47"/>
      <c r="AE45" s="47"/>
      <c r="AF45" s="47">
        <f t="shared" si="21"/>
        <v>7.2</v>
      </c>
      <c r="AG45" s="47">
        <v>6000</v>
      </c>
      <c r="AH45" s="47"/>
      <c r="AI45" s="47">
        <f t="shared" si="22"/>
        <v>12.95</v>
      </c>
      <c r="AJ45" s="53">
        <f t="shared" si="23"/>
        <v>6.2298</v>
      </c>
      <c r="AK45" s="53">
        <f t="shared" si="24"/>
        <v>62298</v>
      </c>
      <c r="AL45" s="47"/>
      <c r="AM45" s="47">
        <f t="shared" si="3"/>
        <v>2.6976</v>
      </c>
      <c r="AN45" s="47">
        <f t="shared" si="4"/>
        <v>2.5388999999999999</v>
      </c>
      <c r="AO45" s="47">
        <f t="shared" si="25"/>
        <v>25389</v>
      </c>
      <c r="AP45" s="47">
        <f t="shared" si="5"/>
        <v>0.15870000000000001</v>
      </c>
      <c r="AQ45" s="47">
        <f t="shared" si="26"/>
        <v>1587</v>
      </c>
      <c r="AR45" s="47"/>
      <c r="AS45" s="47">
        <f t="shared" si="27"/>
        <v>0.41260000000000002</v>
      </c>
      <c r="AT45" s="47">
        <f t="shared" si="6"/>
        <v>0.19040000000000001</v>
      </c>
      <c r="AU45" s="47">
        <f t="shared" si="28"/>
        <v>1904.0000000000002</v>
      </c>
      <c r="AV45" s="47">
        <f t="shared" si="7"/>
        <v>0.22220000000000001</v>
      </c>
      <c r="AW45" s="47">
        <f t="shared" si="29"/>
        <v>2222</v>
      </c>
      <c r="AX45" s="47">
        <f t="shared" si="8"/>
        <v>4.6722999999999999</v>
      </c>
      <c r="AY45" s="47"/>
      <c r="AZ45" s="47"/>
      <c r="BA45" s="54">
        <v>1E-4</v>
      </c>
      <c r="BB45" s="54" t="s">
        <v>172</v>
      </c>
      <c r="BC45" s="51">
        <f t="shared" si="30"/>
        <v>44.8</v>
      </c>
      <c r="BD45" s="47">
        <f t="shared" si="33"/>
        <v>4.8</v>
      </c>
      <c r="BE45" s="47">
        <f t="shared" si="31"/>
        <v>0</v>
      </c>
      <c r="BF45" s="47"/>
      <c r="BG45" s="56">
        <v>40</v>
      </c>
      <c r="BH45" s="47"/>
      <c r="BI45" s="51">
        <f t="shared" si="10"/>
        <v>0</v>
      </c>
      <c r="BJ45" s="51">
        <f t="shared" si="11"/>
        <v>0</v>
      </c>
      <c r="BK45" s="47"/>
      <c r="BL45" s="47"/>
      <c r="BM45" s="47"/>
      <c r="BN45" s="47"/>
      <c r="BO45" s="47"/>
      <c r="BP45" s="47"/>
      <c r="BQ45" s="47"/>
      <c r="BR45" s="47"/>
      <c r="BS45" s="53"/>
      <c r="BT45" s="47"/>
      <c r="BU45" s="47"/>
      <c r="BV45" s="47"/>
      <c r="BW45" s="47"/>
      <c r="BX45" s="47">
        <v>80</v>
      </c>
      <c r="BY45" s="47"/>
      <c r="BZ45" s="47"/>
      <c r="CA45" s="47"/>
      <c r="CB45" s="54">
        <f t="shared" si="12"/>
        <v>177.7483</v>
      </c>
      <c r="CC45" s="47"/>
      <c r="CD45" s="57"/>
      <c r="CE45" s="47"/>
      <c r="CF45" s="47">
        <f t="shared" si="13"/>
        <v>177.7483</v>
      </c>
    </row>
    <row r="46" spans="1:84" ht="14.25" customHeight="1">
      <c r="A46" s="47">
        <v>39</v>
      </c>
      <c r="B46" s="47" t="s">
        <v>129</v>
      </c>
      <c r="C46" s="48">
        <v>807001</v>
      </c>
      <c r="D46" s="49" t="s">
        <v>173</v>
      </c>
      <c r="E46" s="49" t="s">
        <v>141</v>
      </c>
      <c r="F46" s="50">
        <f t="shared" si="14"/>
        <v>48</v>
      </c>
      <c r="G46" s="50">
        <v>29</v>
      </c>
      <c r="H46" s="50">
        <v>2</v>
      </c>
      <c r="I46" s="50">
        <v>17</v>
      </c>
      <c r="J46" s="50"/>
      <c r="K46" s="50"/>
      <c r="L46" s="50"/>
      <c r="M46" s="50"/>
      <c r="N46" s="50">
        <v>4</v>
      </c>
      <c r="O46" s="50">
        <f t="shared" si="15"/>
        <v>52</v>
      </c>
      <c r="P46" s="51">
        <f t="shared" si="0"/>
        <v>606.0856</v>
      </c>
      <c r="Q46" s="51">
        <f t="shared" si="1"/>
        <v>528.96159999999998</v>
      </c>
      <c r="R46" s="47">
        <f t="shared" si="16"/>
        <v>156765</v>
      </c>
      <c r="S46" s="58">
        <v>108239</v>
      </c>
      <c r="T46" s="51">
        <v>48526</v>
      </c>
      <c r="U46" s="47">
        <f t="shared" si="17"/>
        <v>188.11799999999999</v>
      </c>
      <c r="V46" s="51">
        <f t="shared" si="2"/>
        <v>69.75</v>
      </c>
      <c r="W46" s="47">
        <f t="shared" si="18"/>
        <v>69.75</v>
      </c>
      <c r="X46" s="47"/>
      <c r="Y46" s="47"/>
      <c r="Z46" s="47"/>
      <c r="AA46" s="47"/>
      <c r="AB46" s="51">
        <f t="shared" si="19"/>
        <v>89.30749999999999</v>
      </c>
      <c r="AC46" s="47">
        <f t="shared" si="20"/>
        <v>10.8239</v>
      </c>
      <c r="AD46" s="47"/>
      <c r="AE46" s="47"/>
      <c r="AF46" s="47">
        <f t="shared" si="21"/>
        <v>78.483599999999996</v>
      </c>
      <c r="AG46" s="47">
        <v>65403</v>
      </c>
      <c r="AH46" s="47"/>
      <c r="AI46" s="47">
        <f t="shared" si="22"/>
        <v>44.03</v>
      </c>
      <c r="AJ46" s="53">
        <f t="shared" si="23"/>
        <v>62.5929</v>
      </c>
      <c r="AK46" s="53">
        <f t="shared" si="24"/>
        <v>625929</v>
      </c>
      <c r="AL46" s="47"/>
      <c r="AM46" s="47">
        <f t="shared" si="3"/>
        <v>25.691299999999998</v>
      </c>
      <c r="AN46" s="47">
        <f t="shared" si="4"/>
        <v>24.181799999999999</v>
      </c>
      <c r="AO46" s="47">
        <f t="shared" si="25"/>
        <v>241818</v>
      </c>
      <c r="AP46" s="47">
        <f t="shared" si="5"/>
        <v>1.5095000000000001</v>
      </c>
      <c r="AQ46" s="47">
        <f t="shared" si="26"/>
        <v>15095</v>
      </c>
      <c r="AR46" s="47"/>
      <c r="AS46" s="47">
        <f t="shared" si="27"/>
        <v>2.5272000000000001</v>
      </c>
      <c r="AT46" s="47">
        <f t="shared" si="6"/>
        <v>1.8113999999999999</v>
      </c>
      <c r="AU46" s="47">
        <f t="shared" si="28"/>
        <v>18114</v>
      </c>
      <c r="AV46" s="47">
        <f t="shared" si="7"/>
        <v>0.71579999999999999</v>
      </c>
      <c r="AW46" s="47">
        <f t="shared" si="29"/>
        <v>7158</v>
      </c>
      <c r="AX46" s="47">
        <f t="shared" si="8"/>
        <v>46.944699999999997</v>
      </c>
      <c r="AY46" s="47"/>
      <c r="AZ46" s="47"/>
      <c r="BA46" s="54">
        <v>1E-4</v>
      </c>
      <c r="BB46" s="55" t="s">
        <v>173</v>
      </c>
      <c r="BC46" s="51">
        <f t="shared" si="30"/>
        <v>77.123999999999995</v>
      </c>
      <c r="BD46" s="47">
        <f t="shared" si="33"/>
        <v>53.519999999999996</v>
      </c>
      <c r="BE46" s="47">
        <f t="shared" si="31"/>
        <v>23.603999999999999</v>
      </c>
      <c r="BF46" s="47">
        <v>19670</v>
      </c>
      <c r="BG46" s="56">
        <v>0</v>
      </c>
      <c r="BH46" s="47"/>
      <c r="BI46" s="51">
        <f t="shared" si="10"/>
        <v>0</v>
      </c>
      <c r="BJ46" s="51">
        <f t="shared" si="11"/>
        <v>0</v>
      </c>
      <c r="BK46" s="47"/>
      <c r="BL46" s="47"/>
      <c r="BM46" s="47"/>
      <c r="BN46" s="47"/>
      <c r="BO46" s="47"/>
      <c r="BP46" s="47"/>
      <c r="BQ46" s="47"/>
      <c r="BR46" s="47"/>
      <c r="BS46" s="53"/>
      <c r="BT46" s="47"/>
      <c r="BU46" s="47"/>
      <c r="BV46" s="47"/>
      <c r="BW46" s="47"/>
      <c r="BX46" s="47"/>
      <c r="BY46" s="47"/>
      <c r="BZ46" s="47">
        <v>63</v>
      </c>
      <c r="CA46" s="47"/>
      <c r="CB46" s="54">
        <f t="shared" si="12"/>
        <v>669.0856</v>
      </c>
      <c r="CC46" s="47"/>
      <c r="CD46" s="57"/>
      <c r="CE46" s="47"/>
      <c r="CF46" s="47">
        <f t="shared" si="13"/>
        <v>669.0856</v>
      </c>
    </row>
    <row r="47" spans="1:84" ht="14.25" customHeight="1">
      <c r="A47" s="47">
        <v>40</v>
      </c>
      <c r="B47" s="47" t="s">
        <v>129</v>
      </c>
      <c r="C47" s="48">
        <v>809001</v>
      </c>
      <c r="D47" s="49" t="s">
        <v>174</v>
      </c>
      <c r="E47" s="49" t="s">
        <v>150</v>
      </c>
      <c r="F47" s="50">
        <f t="shared" si="14"/>
        <v>20</v>
      </c>
      <c r="G47" s="50"/>
      <c r="H47" s="50"/>
      <c r="I47" s="50">
        <v>20</v>
      </c>
      <c r="J47" s="50"/>
      <c r="K47" s="50"/>
      <c r="L47" s="50"/>
      <c r="M47" s="50"/>
      <c r="N47" s="50"/>
      <c r="O47" s="50">
        <f t="shared" si="15"/>
        <v>20</v>
      </c>
      <c r="P47" s="51">
        <f t="shared" si="0"/>
        <v>270.67759999999998</v>
      </c>
      <c r="Q47" s="51">
        <f t="shared" si="1"/>
        <v>230.4776</v>
      </c>
      <c r="R47" s="47">
        <f t="shared" si="16"/>
        <v>60262</v>
      </c>
      <c r="S47" s="58"/>
      <c r="T47" s="51">
        <v>60262</v>
      </c>
      <c r="U47" s="47">
        <f t="shared" si="17"/>
        <v>72.314400000000006</v>
      </c>
      <c r="V47" s="51">
        <f t="shared" si="2"/>
        <v>18.504000000000001</v>
      </c>
      <c r="W47" s="47">
        <f t="shared" si="18"/>
        <v>0</v>
      </c>
      <c r="X47" s="47">
        <v>18.504000000000001</v>
      </c>
      <c r="Y47" s="47"/>
      <c r="Z47" s="47"/>
      <c r="AA47" s="47"/>
      <c r="AB47" s="51">
        <f t="shared" si="19"/>
        <v>32.880000000000003</v>
      </c>
      <c r="AC47" s="47">
        <f t="shared" si="20"/>
        <v>0</v>
      </c>
      <c r="AD47" s="47">
        <v>4.08</v>
      </c>
      <c r="AE47" s="47"/>
      <c r="AF47" s="47">
        <f t="shared" si="21"/>
        <v>28.8</v>
      </c>
      <c r="AG47" s="47">
        <v>24000</v>
      </c>
      <c r="AH47" s="47"/>
      <c r="AI47" s="47">
        <f t="shared" si="22"/>
        <v>51.8</v>
      </c>
      <c r="AJ47" s="53">
        <f t="shared" si="23"/>
        <v>24.4663</v>
      </c>
      <c r="AK47" s="53">
        <f t="shared" si="24"/>
        <v>244663</v>
      </c>
      <c r="AL47" s="47"/>
      <c r="AM47" s="47">
        <f t="shared" si="3"/>
        <v>10.5497</v>
      </c>
      <c r="AN47" s="47">
        <f t="shared" si="4"/>
        <v>9.9291999999999998</v>
      </c>
      <c r="AO47" s="47">
        <f t="shared" si="25"/>
        <v>99292</v>
      </c>
      <c r="AP47" s="47">
        <f t="shared" si="5"/>
        <v>0.62060000000000004</v>
      </c>
      <c r="AQ47" s="47">
        <f t="shared" si="26"/>
        <v>6206</v>
      </c>
      <c r="AR47" s="47"/>
      <c r="AS47" s="47">
        <f t="shared" si="27"/>
        <v>1.6134999999999999</v>
      </c>
      <c r="AT47" s="47">
        <f t="shared" si="6"/>
        <v>0.74470000000000003</v>
      </c>
      <c r="AU47" s="47">
        <f t="shared" si="28"/>
        <v>7447</v>
      </c>
      <c r="AV47" s="47">
        <f t="shared" si="7"/>
        <v>0.86880000000000002</v>
      </c>
      <c r="AW47" s="47">
        <f t="shared" si="29"/>
        <v>8688</v>
      </c>
      <c r="AX47" s="47">
        <f t="shared" si="8"/>
        <v>18.349699999999999</v>
      </c>
      <c r="AY47" s="47"/>
      <c r="AZ47" s="47"/>
      <c r="BA47" s="54">
        <v>1E-4</v>
      </c>
      <c r="BB47" s="55" t="s">
        <v>174</v>
      </c>
      <c r="BC47" s="51">
        <f t="shared" si="30"/>
        <v>40.200000000000003</v>
      </c>
      <c r="BD47" s="47">
        <f t="shared" si="33"/>
        <v>19.2</v>
      </c>
      <c r="BE47" s="47">
        <f t="shared" si="31"/>
        <v>0</v>
      </c>
      <c r="BF47" s="47"/>
      <c r="BG47" s="56">
        <v>21</v>
      </c>
      <c r="BH47" s="47"/>
      <c r="BI47" s="51">
        <f t="shared" si="10"/>
        <v>0</v>
      </c>
      <c r="BJ47" s="51">
        <f t="shared" si="11"/>
        <v>0</v>
      </c>
      <c r="BK47" s="47"/>
      <c r="BL47" s="47"/>
      <c r="BM47" s="47"/>
      <c r="BN47" s="47"/>
      <c r="BO47" s="47"/>
      <c r="BP47" s="47"/>
      <c r="BQ47" s="47"/>
      <c r="BR47" s="47"/>
      <c r="BS47" s="53"/>
      <c r="BT47" s="47"/>
      <c r="BU47" s="47"/>
      <c r="BV47" s="47"/>
      <c r="BW47" s="47"/>
      <c r="BX47" s="47"/>
      <c r="BY47" s="47"/>
      <c r="BZ47" s="47"/>
      <c r="CA47" s="47"/>
      <c r="CB47" s="54">
        <f t="shared" si="12"/>
        <v>270.67759999999998</v>
      </c>
      <c r="CC47" s="47"/>
      <c r="CD47" s="57"/>
      <c r="CE47" s="47"/>
      <c r="CF47" s="47">
        <f t="shared" si="13"/>
        <v>270.67759999999998</v>
      </c>
    </row>
    <row r="48" spans="1:84" ht="14.25" customHeight="1">
      <c r="A48" s="47">
        <v>41</v>
      </c>
      <c r="B48" s="47" t="s">
        <v>129</v>
      </c>
      <c r="C48" s="48">
        <v>811001</v>
      </c>
      <c r="D48" s="49" t="s">
        <v>175</v>
      </c>
      <c r="E48" s="49" t="s">
        <v>150</v>
      </c>
      <c r="F48" s="50">
        <f t="shared" si="14"/>
        <v>13</v>
      </c>
      <c r="G48" s="50"/>
      <c r="H48" s="50"/>
      <c r="I48" s="50">
        <v>12</v>
      </c>
      <c r="J48" s="50">
        <v>1</v>
      </c>
      <c r="K48" s="50"/>
      <c r="L48" s="50"/>
      <c r="M48" s="50"/>
      <c r="N48" s="50"/>
      <c r="O48" s="50">
        <f t="shared" si="15"/>
        <v>13</v>
      </c>
      <c r="P48" s="51">
        <f t="shared" si="0"/>
        <v>175.0189</v>
      </c>
      <c r="Q48" s="51">
        <f t="shared" si="1"/>
        <v>155.53890000000001</v>
      </c>
      <c r="R48" s="47">
        <f t="shared" si="16"/>
        <v>42506</v>
      </c>
      <c r="S48" s="58"/>
      <c r="T48" s="51">
        <v>42506</v>
      </c>
      <c r="U48" s="47">
        <f t="shared" si="17"/>
        <v>51.007199999999997</v>
      </c>
      <c r="V48" s="51">
        <f t="shared" si="2"/>
        <v>12.24</v>
      </c>
      <c r="W48" s="47">
        <f t="shared" si="18"/>
        <v>0</v>
      </c>
      <c r="X48" s="47">
        <v>12.24</v>
      </c>
      <c r="Y48" s="47"/>
      <c r="Z48" s="47"/>
      <c r="AA48" s="47"/>
      <c r="AB48" s="51">
        <f t="shared" si="19"/>
        <v>21.372</v>
      </c>
      <c r="AC48" s="47">
        <f t="shared" si="20"/>
        <v>0</v>
      </c>
      <c r="AD48" s="47">
        <v>2.6520000000000001</v>
      </c>
      <c r="AE48" s="47"/>
      <c r="AF48" s="47">
        <f t="shared" si="21"/>
        <v>18.72</v>
      </c>
      <c r="AG48" s="47">
        <v>15600</v>
      </c>
      <c r="AH48" s="47"/>
      <c r="AI48" s="47">
        <f t="shared" si="22"/>
        <v>33.67</v>
      </c>
      <c r="AJ48" s="53">
        <f t="shared" si="23"/>
        <v>16.543600000000001</v>
      </c>
      <c r="AK48" s="53">
        <f t="shared" si="24"/>
        <v>165436</v>
      </c>
      <c r="AL48" s="47"/>
      <c r="AM48" s="47">
        <f t="shared" si="3"/>
        <v>7.1976000000000004</v>
      </c>
      <c r="AN48" s="47">
        <f t="shared" si="4"/>
        <v>6.7742000000000004</v>
      </c>
      <c r="AO48" s="47">
        <f t="shared" si="25"/>
        <v>67742</v>
      </c>
      <c r="AP48" s="47">
        <f t="shared" si="5"/>
        <v>0.4234</v>
      </c>
      <c r="AQ48" s="47">
        <f t="shared" si="26"/>
        <v>4234</v>
      </c>
      <c r="AR48" s="47"/>
      <c r="AS48" s="47">
        <f t="shared" si="27"/>
        <v>1.1008</v>
      </c>
      <c r="AT48" s="47">
        <f t="shared" si="6"/>
        <v>0.5081</v>
      </c>
      <c r="AU48" s="47">
        <f t="shared" si="28"/>
        <v>5081</v>
      </c>
      <c r="AV48" s="47">
        <f t="shared" si="7"/>
        <v>0.5927</v>
      </c>
      <c r="AW48" s="47">
        <f t="shared" si="29"/>
        <v>5927</v>
      </c>
      <c r="AX48" s="47">
        <f t="shared" si="8"/>
        <v>12.4077</v>
      </c>
      <c r="AY48" s="47"/>
      <c r="AZ48" s="47"/>
      <c r="BA48" s="54">
        <v>1E-4</v>
      </c>
      <c r="BB48" s="55" t="s">
        <v>175</v>
      </c>
      <c r="BC48" s="51">
        <f t="shared" si="30"/>
        <v>19.48</v>
      </c>
      <c r="BD48" s="47">
        <f t="shared" si="33"/>
        <v>12.48</v>
      </c>
      <c r="BE48" s="47">
        <f t="shared" si="31"/>
        <v>0</v>
      </c>
      <c r="BF48" s="47"/>
      <c r="BG48" s="56">
        <v>7</v>
      </c>
      <c r="BH48" s="47"/>
      <c r="BI48" s="51">
        <f t="shared" si="10"/>
        <v>0</v>
      </c>
      <c r="BJ48" s="51">
        <f t="shared" si="11"/>
        <v>0</v>
      </c>
      <c r="BK48" s="47"/>
      <c r="BL48" s="47"/>
      <c r="BM48" s="47"/>
      <c r="BN48" s="47"/>
      <c r="BO48" s="47"/>
      <c r="BP48" s="47"/>
      <c r="BQ48" s="47"/>
      <c r="BR48" s="47"/>
      <c r="BS48" s="53"/>
      <c r="BT48" s="47"/>
      <c r="BU48" s="47"/>
      <c r="BV48" s="47"/>
      <c r="BW48" s="47"/>
      <c r="BX48" s="47"/>
      <c r="BY48" s="47"/>
      <c r="BZ48" s="47"/>
      <c r="CA48" s="47"/>
      <c r="CB48" s="54">
        <f t="shared" si="12"/>
        <v>175.0189</v>
      </c>
      <c r="CC48" s="47"/>
      <c r="CD48" s="57"/>
      <c r="CE48" s="47"/>
      <c r="CF48" s="47">
        <f t="shared" si="13"/>
        <v>175.0189</v>
      </c>
    </row>
    <row r="49" spans="1:84" ht="14.25" customHeight="1">
      <c r="A49" s="47">
        <v>42</v>
      </c>
      <c r="B49" s="47" t="s">
        <v>129</v>
      </c>
      <c r="C49" s="48">
        <v>812001</v>
      </c>
      <c r="D49" s="59" t="s">
        <v>176</v>
      </c>
      <c r="E49" s="59" t="s">
        <v>150</v>
      </c>
      <c r="F49" s="50">
        <f t="shared" si="14"/>
        <v>30</v>
      </c>
      <c r="G49" s="50"/>
      <c r="H49" s="50"/>
      <c r="I49" s="50">
        <v>18</v>
      </c>
      <c r="J49" s="50">
        <v>12</v>
      </c>
      <c r="K49" s="50"/>
      <c r="L49" s="50"/>
      <c r="M49" s="50"/>
      <c r="N49" s="50">
        <v>1</v>
      </c>
      <c r="O49" s="50">
        <f t="shared" si="15"/>
        <v>31</v>
      </c>
      <c r="P49" s="51">
        <f t="shared" si="0"/>
        <v>522.62799999999993</v>
      </c>
      <c r="Q49" s="51">
        <f t="shared" si="1"/>
        <v>362.57999999999993</v>
      </c>
      <c r="R49" s="47">
        <f t="shared" si="16"/>
        <v>101929</v>
      </c>
      <c r="S49" s="58"/>
      <c r="T49" s="51">
        <v>101929</v>
      </c>
      <c r="U49" s="47">
        <f t="shared" si="17"/>
        <v>122.31480000000001</v>
      </c>
      <c r="V49" s="51">
        <f t="shared" si="2"/>
        <v>25.536000000000001</v>
      </c>
      <c r="W49" s="47">
        <f t="shared" si="18"/>
        <v>0</v>
      </c>
      <c r="X49" s="47">
        <v>25.536000000000001</v>
      </c>
      <c r="Y49" s="47"/>
      <c r="Z49" s="47"/>
      <c r="AA49" s="47"/>
      <c r="AB49" s="51">
        <f t="shared" si="19"/>
        <v>49.32</v>
      </c>
      <c r="AC49" s="47">
        <f t="shared" si="20"/>
        <v>0</v>
      </c>
      <c r="AD49" s="47">
        <v>6.12</v>
      </c>
      <c r="AE49" s="47"/>
      <c r="AF49" s="47">
        <f t="shared" si="21"/>
        <v>43.2</v>
      </c>
      <c r="AG49" s="47">
        <v>36000</v>
      </c>
      <c r="AH49" s="47"/>
      <c r="AI49" s="47">
        <f t="shared" si="22"/>
        <v>77.7</v>
      </c>
      <c r="AJ49" s="53">
        <f t="shared" si="23"/>
        <v>38.914400000000001</v>
      </c>
      <c r="AK49" s="53">
        <f t="shared" si="24"/>
        <v>389144</v>
      </c>
      <c r="AL49" s="47"/>
      <c r="AM49" s="47">
        <f t="shared" si="3"/>
        <v>17.008800000000001</v>
      </c>
      <c r="AN49" s="47">
        <f t="shared" si="4"/>
        <v>16.008700000000001</v>
      </c>
      <c r="AO49" s="47">
        <f t="shared" si="25"/>
        <v>160087</v>
      </c>
      <c r="AP49" s="47">
        <f t="shared" si="5"/>
        <v>1.0001</v>
      </c>
      <c r="AQ49" s="47">
        <f t="shared" si="26"/>
        <v>10001</v>
      </c>
      <c r="AR49" s="47"/>
      <c r="AS49" s="47">
        <f t="shared" si="27"/>
        <v>2.6002000000000001</v>
      </c>
      <c r="AT49" s="47">
        <f t="shared" si="6"/>
        <v>1.2000999999999999</v>
      </c>
      <c r="AU49" s="47">
        <f t="shared" si="28"/>
        <v>12001</v>
      </c>
      <c r="AV49" s="47">
        <f t="shared" si="7"/>
        <v>1.4000999999999999</v>
      </c>
      <c r="AW49" s="47">
        <f t="shared" si="29"/>
        <v>14000.999999999998</v>
      </c>
      <c r="AX49" s="47">
        <f t="shared" si="8"/>
        <v>29.1858</v>
      </c>
      <c r="AY49" s="47"/>
      <c r="AZ49" s="47"/>
      <c r="BA49" s="54">
        <v>1E-4</v>
      </c>
      <c r="BB49" s="54" t="s">
        <v>176</v>
      </c>
      <c r="BC49" s="51">
        <f t="shared" si="30"/>
        <v>160.048</v>
      </c>
      <c r="BD49" s="47">
        <f t="shared" si="33"/>
        <v>28.799999999999997</v>
      </c>
      <c r="BE49" s="47">
        <f t="shared" si="31"/>
        <v>1.248</v>
      </c>
      <c r="BF49" s="47">
        <v>1040</v>
      </c>
      <c r="BG49" s="56">
        <v>130</v>
      </c>
      <c r="BH49" s="47"/>
      <c r="BI49" s="51">
        <f t="shared" si="10"/>
        <v>0</v>
      </c>
      <c r="BJ49" s="51">
        <f t="shared" si="11"/>
        <v>0</v>
      </c>
      <c r="BK49" s="47"/>
      <c r="BL49" s="47"/>
      <c r="BM49" s="47"/>
      <c r="BN49" s="47"/>
      <c r="BO49" s="47"/>
      <c r="BP49" s="47"/>
      <c r="BQ49" s="47"/>
      <c r="BR49" s="47"/>
      <c r="BS49" s="53"/>
      <c r="BT49" s="47"/>
      <c r="BU49" s="47"/>
      <c r="BV49" s="47"/>
      <c r="BW49" s="47"/>
      <c r="BX49" s="47"/>
      <c r="BY49" s="47"/>
      <c r="BZ49" s="47">
        <v>20</v>
      </c>
      <c r="CA49" s="47"/>
      <c r="CB49" s="54">
        <f t="shared" si="12"/>
        <v>542.62799999999993</v>
      </c>
      <c r="CC49" s="47"/>
      <c r="CD49" s="57"/>
      <c r="CE49" s="47"/>
      <c r="CF49" s="47">
        <f t="shared" si="13"/>
        <v>542.62799999999993</v>
      </c>
    </row>
    <row r="50" spans="1:84" ht="14.25" customHeight="1">
      <c r="A50" s="47">
        <v>43</v>
      </c>
      <c r="B50" s="47" t="s">
        <v>129</v>
      </c>
      <c r="C50" s="48">
        <v>810001</v>
      </c>
      <c r="D50" s="49" t="s">
        <v>177</v>
      </c>
      <c r="E50" s="49" t="s">
        <v>131</v>
      </c>
      <c r="F50" s="50">
        <f t="shared" si="14"/>
        <v>16</v>
      </c>
      <c r="G50" s="50">
        <v>15</v>
      </c>
      <c r="H50" s="50">
        <v>1</v>
      </c>
      <c r="I50" s="50"/>
      <c r="J50" s="50"/>
      <c r="K50" s="50"/>
      <c r="L50" s="50"/>
      <c r="M50" s="50"/>
      <c r="N50" s="50">
        <v>12</v>
      </c>
      <c r="O50" s="50">
        <f t="shared" si="15"/>
        <v>28</v>
      </c>
      <c r="P50" s="51">
        <f t="shared" si="0"/>
        <v>392.23140000000001</v>
      </c>
      <c r="Q50" s="51">
        <f t="shared" si="1"/>
        <v>202.08340000000001</v>
      </c>
      <c r="R50" s="47">
        <f t="shared" si="16"/>
        <v>65295</v>
      </c>
      <c r="S50" s="58">
        <v>65295</v>
      </c>
      <c r="T50" s="51"/>
      <c r="U50" s="47">
        <f t="shared" si="17"/>
        <v>78.353999999999999</v>
      </c>
      <c r="V50" s="51">
        <f t="shared" si="2"/>
        <v>36</v>
      </c>
      <c r="W50" s="47">
        <f t="shared" si="18"/>
        <v>36</v>
      </c>
      <c r="X50" s="47"/>
      <c r="Y50" s="47"/>
      <c r="Z50" s="47"/>
      <c r="AA50" s="47"/>
      <c r="AB50" s="51">
        <f t="shared" si="19"/>
        <v>35.323500000000003</v>
      </c>
      <c r="AC50" s="47">
        <f t="shared" si="20"/>
        <v>6.5294999999999996</v>
      </c>
      <c r="AD50" s="47"/>
      <c r="AE50" s="47"/>
      <c r="AF50" s="47">
        <f t="shared" si="21"/>
        <v>28.794</v>
      </c>
      <c r="AG50" s="47">
        <v>23995</v>
      </c>
      <c r="AH50" s="47"/>
      <c r="AI50" s="47">
        <f t="shared" si="22"/>
        <v>0</v>
      </c>
      <c r="AJ50" s="53">
        <f t="shared" si="23"/>
        <v>23.948399999999999</v>
      </c>
      <c r="AK50" s="53">
        <f t="shared" si="24"/>
        <v>239484</v>
      </c>
      <c r="AL50" s="47"/>
      <c r="AM50" s="47">
        <f t="shared" si="3"/>
        <v>9.8101000000000003</v>
      </c>
      <c r="AN50" s="47">
        <f t="shared" si="4"/>
        <v>9.2383000000000006</v>
      </c>
      <c r="AO50" s="47">
        <f t="shared" si="25"/>
        <v>92383</v>
      </c>
      <c r="AP50" s="47">
        <f t="shared" si="5"/>
        <v>0.57179999999999997</v>
      </c>
      <c r="AQ50" s="47">
        <f t="shared" si="26"/>
        <v>5718</v>
      </c>
      <c r="AR50" s="47"/>
      <c r="AS50" s="47">
        <f t="shared" si="27"/>
        <v>0.68610000000000004</v>
      </c>
      <c r="AT50" s="47">
        <f t="shared" si="6"/>
        <v>0.68610000000000004</v>
      </c>
      <c r="AU50" s="47">
        <f t="shared" si="28"/>
        <v>6861</v>
      </c>
      <c r="AV50" s="47">
        <f t="shared" si="7"/>
        <v>0</v>
      </c>
      <c r="AW50" s="47">
        <f t="shared" si="29"/>
        <v>0</v>
      </c>
      <c r="AX50" s="47">
        <f t="shared" si="8"/>
        <v>17.961300000000001</v>
      </c>
      <c r="AY50" s="47"/>
      <c r="AZ50" s="47"/>
      <c r="BA50" s="54">
        <v>1E-4</v>
      </c>
      <c r="BB50" s="55" t="s">
        <v>177</v>
      </c>
      <c r="BC50" s="51">
        <f t="shared" si="30"/>
        <v>186.83600000000001</v>
      </c>
      <c r="BD50" s="47">
        <f t="shared" si="33"/>
        <v>19.2</v>
      </c>
      <c r="BE50" s="47">
        <f t="shared" si="31"/>
        <v>12.635999999999999</v>
      </c>
      <c r="BF50" s="47">
        <v>10530</v>
      </c>
      <c r="BG50" s="56">
        <v>155</v>
      </c>
      <c r="BH50" s="47"/>
      <c r="BI50" s="51">
        <f t="shared" si="10"/>
        <v>3.3119999999999998</v>
      </c>
      <c r="BJ50" s="51">
        <f t="shared" si="11"/>
        <v>0</v>
      </c>
      <c r="BK50" s="47"/>
      <c r="BL50" s="47"/>
      <c r="BM50" s="47"/>
      <c r="BN50" s="47"/>
      <c r="BO50" s="47"/>
      <c r="BP50" s="47">
        <v>3.3119999999999998</v>
      </c>
      <c r="BQ50" s="47"/>
      <c r="BR50" s="47"/>
      <c r="BS50" s="53"/>
      <c r="BT50" s="47"/>
      <c r="BU50" s="47"/>
      <c r="BV50" s="47"/>
      <c r="BW50" s="47"/>
      <c r="BX50" s="47">
        <v>180</v>
      </c>
      <c r="BY50" s="47"/>
      <c r="BZ50" s="47">
        <v>9496</v>
      </c>
      <c r="CA50" s="47"/>
      <c r="CB50" s="54">
        <f t="shared" si="12"/>
        <v>10068.231400000001</v>
      </c>
      <c r="CC50" s="47"/>
      <c r="CD50" s="57"/>
      <c r="CE50" s="47"/>
      <c r="CF50" s="47">
        <f t="shared" si="13"/>
        <v>10068.231400000001</v>
      </c>
    </row>
    <row r="51" spans="1:84" ht="14.25" customHeight="1">
      <c r="A51" s="47">
        <v>44</v>
      </c>
      <c r="B51" s="47" t="s">
        <v>129</v>
      </c>
      <c r="C51" s="48">
        <v>810005</v>
      </c>
      <c r="D51" s="49" t="s">
        <v>178</v>
      </c>
      <c r="E51" s="49" t="s">
        <v>150</v>
      </c>
      <c r="F51" s="50">
        <f t="shared" si="14"/>
        <v>188</v>
      </c>
      <c r="G51" s="50"/>
      <c r="H51" s="50"/>
      <c r="I51" s="50">
        <f>216-28</f>
        <v>188</v>
      </c>
      <c r="J51" s="50"/>
      <c r="K51" s="50"/>
      <c r="L51" s="50"/>
      <c r="M51" s="50"/>
      <c r="N51" s="50">
        <f>123-1</f>
        <v>122</v>
      </c>
      <c r="O51" s="50">
        <f t="shared" si="15"/>
        <v>310</v>
      </c>
      <c r="P51" s="51">
        <f t="shared" si="0"/>
        <v>2570.2530400000005</v>
      </c>
      <c r="Q51" s="51">
        <f t="shared" si="1"/>
        <v>2187.4490400000004</v>
      </c>
      <c r="R51" s="47">
        <f t="shared" si="16"/>
        <v>657963.19999999995</v>
      </c>
      <c r="S51" s="58"/>
      <c r="T51" s="51">
        <v>657963.19999999995</v>
      </c>
      <c r="U51" s="47">
        <f t="shared" si="17"/>
        <v>789.55583999999999</v>
      </c>
      <c r="V51" s="51">
        <f t="shared" si="2"/>
        <v>84.168000000000006</v>
      </c>
      <c r="W51" s="47">
        <f t="shared" si="18"/>
        <v>0</v>
      </c>
      <c r="X51" s="47">
        <v>84.168000000000006</v>
      </c>
      <c r="Y51" s="47"/>
      <c r="Z51" s="47"/>
      <c r="AA51" s="47"/>
      <c r="AB51" s="51">
        <f t="shared" si="19"/>
        <v>272.01600000000002</v>
      </c>
      <c r="AC51" s="47">
        <f t="shared" si="20"/>
        <v>0</v>
      </c>
      <c r="AD51" s="47">
        <v>17.135999999999999</v>
      </c>
      <c r="AE51" s="47"/>
      <c r="AF51" s="47">
        <f t="shared" si="21"/>
        <v>254.88</v>
      </c>
      <c r="AG51" s="47">
        <v>212400</v>
      </c>
      <c r="AH51" s="47"/>
      <c r="AI51" s="47">
        <f t="shared" si="22"/>
        <v>486.92</v>
      </c>
      <c r="AJ51" s="53">
        <f t="shared" si="23"/>
        <v>245.01689999999999</v>
      </c>
      <c r="AK51" s="53">
        <f t="shared" si="24"/>
        <v>2450169</v>
      </c>
      <c r="AL51" s="47"/>
      <c r="AM51" s="47">
        <f t="shared" si="3"/>
        <v>109.41540000000001</v>
      </c>
      <c r="AN51" s="47">
        <f t="shared" si="4"/>
        <v>103.0331</v>
      </c>
      <c r="AO51" s="47">
        <f t="shared" si="25"/>
        <v>1030331</v>
      </c>
      <c r="AP51" s="47">
        <f t="shared" si="5"/>
        <v>6.3823999999999996</v>
      </c>
      <c r="AQ51" s="47">
        <f t="shared" si="26"/>
        <v>63823.999999999993</v>
      </c>
      <c r="AR51" s="47"/>
      <c r="AS51" s="47">
        <f t="shared" si="27"/>
        <v>16.594200000000001</v>
      </c>
      <c r="AT51" s="47">
        <f t="shared" si="6"/>
        <v>7.6589</v>
      </c>
      <c r="AU51" s="47">
        <f t="shared" si="28"/>
        <v>76589</v>
      </c>
      <c r="AV51" s="47">
        <f t="shared" si="7"/>
        <v>8.9352999999999998</v>
      </c>
      <c r="AW51" s="47">
        <f t="shared" si="29"/>
        <v>89353</v>
      </c>
      <c r="AX51" s="47">
        <f t="shared" si="8"/>
        <v>183.7627</v>
      </c>
      <c r="AY51" s="47"/>
      <c r="AZ51" s="47"/>
      <c r="BA51" s="54">
        <v>1E-4</v>
      </c>
      <c r="BB51" s="55" t="s">
        <v>178</v>
      </c>
      <c r="BC51" s="51">
        <f t="shared" si="30"/>
        <v>340.48</v>
      </c>
      <c r="BD51" s="47">
        <f t="shared" si="33"/>
        <v>180.48</v>
      </c>
      <c r="BE51" s="47">
        <f t="shared" si="31"/>
        <v>0</v>
      </c>
      <c r="BF51" s="47"/>
      <c r="BG51" s="56">
        <v>140</v>
      </c>
      <c r="BH51" s="47">
        <v>20</v>
      </c>
      <c r="BI51" s="51">
        <f t="shared" si="10"/>
        <v>42.323999999999998</v>
      </c>
      <c r="BJ51" s="51">
        <f t="shared" si="11"/>
        <v>0</v>
      </c>
      <c r="BK51" s="47"/>
      <c r="BL51" s="47"/>
      <c r="BM51" s="47"/>
      <c r="BN51" s="47"/>
      <c r="BO51" s="47"/>
      <c r="BP51" s="47">
        <v>42.323999999999998</v>
      </c>
      <c r="BQ51" s="47"/>
      <c r="BR51" s="47"/>
      <c r="BS51" s="53"/>
      <c r="BT51" s="47"/>
      <c r="BU51" s="47"/>
      <c r="BV51" s="47"/>
      <c r="BW51" s="47"/>
      <c r="BX51" s="47"/>
      <c r="BY51" s="47"/>
      <c r="BZ51" s="47">
        <v>9199.5</v>
      </c>
      <c r="CA51" s="47"/>
      <c r="CB51" s="54">
        <f t="shared" si="12"/>
        <v>11769.75304</v>
      </c>
      <c r="CC51" s="47"/>
      <c r="CD51" s="57"/>
      <c r="CE51" s="47"/>
      <c r="CF51" s="47">
        <f t="shared" si="13"/>
        <v>11769.75304</v>
      </c>
    </row>
    <row r="52" spans="1:84" ht="14.25" customHeight="1">
      <c r="A52" s="47">
        <v>45</v>
      </c>
      <c r="B52" s="47" t="s">
        <v>129</v>
      </c>
      <c r="C52" s="48">
        <v>810007</v>
      </c>
      <c r="D52" s="49" t="s">
        <v>179</v>
      </c>
      <c r="E52" s="49" t="s">
        <v>150</v>
      </c>
      <c r="F52" s="50">
        <f t="shared" si="14"/>
        <v>16</v>
      </c>
      <c r="G52" s="50"/>
      <c r="H52" s="50"/>
      <c r="I52" s="50">
        <f>27-11</f>
        <v>16</v>
      </c>
      <c r="J52" s="50"/>
      <c r="K52" s="50"/>
      <c r="L52" s="50"/>
      <c r="M52" s="50"/>
      <c r="N52" s="50"/>
      <c r="O52" s="50">
        <f t="shared" si="15"/>
        <v>16</v>
      </c>
      <c r="P52" s="51">
        <f t="shared" si="0"/>
        <v>213.12309999999997</v>
      </c>
      <c r="Q52" s="51">
        <f t="shared" si="1"/>
        <v>191.76309999999998</v>
      </c>
      <c r="R52" s="47">
        <f t="shared" si="16"/>
        <v>53483</v>
      </c>
      <c r="S52" s="58"/>
      <c r="T52" s="51">
        <v>53483</v>
      </c>
      <c r="U52" s="47">
        <f t="shared" si="17"/>
        <v>64.179599999999994</v>
      </c>
      <c r="V52" s="51">
        <f t="shared" si="2"/>
        <v>13.464</v>
      </c>
      <c r="W52" s="47">
        <f t="shared" si="18"/>
        <v>0</v>
      </c>
      <c r="X52" s="47">
        <v>13.464</v>
      </c>
      <c r="Y52" s="47"/>
      <c r="Z52" s="47"/>
      <c r="AA52" s="47"/>
      <c r="AB52" s="51">
        <f t="shared" si="19"/>
        <v>26.303999999999998</v>
      </c>
      <c r="AC52" s="47">
        <f t="shared" si="20"/>
        <v>0</v>
      </c>
      <c r="AD52" s="47">
        <v>3.2639999999999998</v>
      </c>
      <c r="AE52" s="47"/>
      <c r="AF52" s="47">
        <f t="shared" si="21"/>
        <v>23.04</v>
      </c>
      <c r="AG52" s="47">
        <v>19200</v>
      </c>
      <c r="AH52" s="47"/>
      <c r="AI52" s="47">
        <f t="shared" si="22"/>
        <v>41.44</v>
      </c>
      <c r="AJ52" s="53">
        <f t="shared" si="23"/>
        <v>20.5855</v>
      </c>
      <c r="AK52" s="53">
        <f t="shared" si="24"/>
        <v>205855</v>
      </c>
      <c r="AL52" s="47"/>
      <c r="AM52" s="47">
        <f t="shared" si="3"/>
        <v>8.9777000000000005</v>
      </c>
      <c r="AN52" s="47">
        <f t="shared" si="4"/>
        <v>8.4496000000000002</v>
      </c>
      <c r="AO52" s="47">
        <f t="shared" si="25"/>
        <v>84496</v>
      </c>
      <c r="AP52" s="47">
        <f t="shared" si="5"/>
        <v>0.52810000000000001</v>
      </c>
      <c r="AQ52" s="47">
        <f t="shared" si="26"/>
        <v>5281</v>
      </c>
      <c r="AR52" s="47"/>
      <c r="AS52" s="47">
        <f t="shared" si="27"/>
        <v>1.3731</v>
      </c>
      <c r="AT52" s="47">
        <f t="shared" si="6"/>
        <v>0.63370000000000004</v>
      </c>
      <c r="AU52" s="47">
        <f t="shared" si="28"/>
        <v>6337</v>
      </c>
      <c r="AV52" s="47">
        <f t="shared" si="7"/>
        <v>0.73929999999999996</v>
      </c>
      <c r="AW52" s="47">
        <f t="shared" si="29"/>
        <v>7393</v>
      </c>
      <c r="AX52" s="47">
        <f t="shared" si="8"/>
        <v>15.4392</v>
      </c>
      <c r="AY52" s="47"/>
      <c r="AZ52" s="47"/>
      <c r="BA52" s="54">
        <v>1E-4</v>
      </c>
      <c r="BB52" s="55" t="s">
        <v>179</v>
      </c>
      <c r="BC52" s="51">
        <f t="shared" si="30"/>
        <v>21.36</v>
      </c>
      <c r="BD52" s="47">
        <f t="shared" si="33"/>
        <v>15.36</v>
      </c>
      <c r="BE52" s="47">
        <f t="shared" si="31"/>
        <v>0</v>
      </c>
      <c r="BF52" s="47"/>
      <c r="BG52" s="56">
        <v>6</v>
      </c>
      <c r="BH52" s="47"/>
      <c r="BI52" s="51">
        <f t="shared" si="10"/>
        <v>0</v>
      </c>
      <c r="BJ52" s="51">
        <f t="shared" si="11"/>
        <v>0</v>
      </c>
      <c r="BK52" s="47"/>
      <c r="BL52" s="47"/>
      <c r="BM52" s="47"/>
      <c r="BN52" s="47"/>
      <c r="BO52" s="47"/>
      <c r="BP52" s="47"/>
      <c r="BQ52" s="47"/>
      <c r="BR52" s="47"/>
      <c r="BS52" s="53"/>
      <c r="BT52" s="47"/>
      <c r="BU52" s="47"/>
      <c r="BV52" s="47"/>
      <c r="BW52" s="47"/>
      <c r="BX52" s="47">
        <v>38.54</v>
      </c>
      <c r="BY52" s="47"/>
      <c r="BZ52" s="47">
        <v>49.68</v>
      </c>
      <c r="CA52" s="47"/>
      <c r="CB52" s="54">
        <f t="shared" si="12"/>
        <v>301.34309999999994</v>
      </c>
      <c r="CC52" s="47"/>
      <c r="CD52" s="57"/>
      <c r="CE52" s="47"/>
      <c r="CF52" s="47">
        <f t="shared" si="13"/>
        <v>301.34309999999994</v>
      </c>
    </row>
    <row r="53" spans="1:84" ht="14.25" customHeight="1">
      <c r="A53" s="47">
        <v>46</v>
      </c>
      <c r="B53" s="47" t="s">
        <v>129</v>
      </c>
      <c r="C53" s="48">
        <v>810003</v>
      </c>
      <c r="D53" s="49" t="s">
        <v>180</v>
      </c>
      <c r="E53" s="49" t="s">
        <v>150</v>
      </c>
      <c r="F53" s="50">
        <f t="shared" si="14"/>
        <v>7</v>
      </c>
      <c r="G53" s="50"/>
      <c r="H53" s="50"/>
      <c r="I53" s="50">
        <f>8-1</f>
        <v>7</v>
      </c>
      <c r="J53" s="50"/>
      <c r="K53" s="50"/>
      <c r="L53" s="50"/>
      <c r="M53" s="50"/>
      <c r="N53" s="50">
        <v>4</v>
      </c>
      <c r="O53" s="50">
        <f t="shared" si="15"/>
        <v>11</v>
      </c>
      <c r="P53" s="51">
        <f t="shared" si="0"/>
        <v>96.555299999999988</v>
      </c>
      <c r="Q53" s="51">
        <f t="shared" si="1"/>
        <v>77.007299999999987</v>
      </c>
      <c r="R53" s="47">
        <f t="shared" si="16"/>
        <v>24755</v>
      </c>
      <c r="S53" s="58"/>
      <c r="T53" s="51">
        <v>24755</v>
      </c>
      <c r="U53" s="47">
        <f t="shared" si="17"/>
        <v>29.706</v>
      </c>
      <c r="V53" s="51">
        <f t="shared" si="2"/>
        <v>0</v>
      </c>
      <c r="W53" s="47">
        <f t="shared" si="18"/>
        <v>0</v>
      </c>
      <c r="X53" s="47"/>
      <c r="Y53" s="47"/>
      <c r="Z53" s="47"/>
      <c r="AA53" s="47"/>
      <c r="AB53" s="51">
        <f t="shared" si="19"/>
        <v>8.64</v>
      </c>
      <c r="AC53" s="47">
        <f t="shared" si="20"/>
        <v>0</v>
      </c>
      <c r="AD53" s="47"/>
      <c r="AE53" s="47"/>
      <c r="AF53" s="47">
        <f t="shared" si="21"/>
        <v>8.64</v>
      </c>
      <c r="AG53" s="47">
        <v>7200</v>
      </c>
      <c r="AH53" s="47"/>
      <c r="AI53" s="47">
        <f t="shared" si="22"/>
        <v>18.13</v>
      </c>
      <c r="AJ53" s="53">
        <f t="shared" si="23"/>
        <v>9.0361999999999991</v>
      </c>
      <c r="AK53" s="53">
        <f t="shared" si="24"/>
        <v>90361.999999999985</v>
      </c>
      <c r="AL53" s="47"/>
      <c r="AM53" s="47">
        <f t="shared" si="3"/>
        <v>4.0960999999999999</v>
      </c>
      <c r="AN53" s="47">
        <f t="shared" si="4"/>
        <v>3.8569</v>
      </c>
      <c r="AO53" s="47">
        <f t="shared" si="25"/>
        <v>38569</v>
      </c>
      <c r="AP53" s="47">
        <f t="shared" si="5"/>
        <v>0.2392</v>
      </c>
      <c r="AQ53" s="47">
        <f t="shared" si="26"/>
        <v>2392</v>
      </c>
      <c r="AR53" s="47"/>
      <c r="AS53" s="47">
        <f t="shared" si="27"/>
        <v>0.62190000000000001</v>
      </c>
      <c r="AT53" s="47">
        <f t="shared" si="6"/>
        <v>0.28699999999999998</v>
      </c>
      <c r="AU53" s="47">
        <f t="shared" si="28"/>
        <v>2870</v>
      </c>
      <c r="AV53" s="47">
        <f t="shared" si="7"/>
        <v>0.33489999999999998</v>
      </c>
      <c r="AW53" s="47">
        <f t="shared" si="29"/>
        <v>3348.9999999999995</v>
      </c>
      <c r="AX53" s="47">
        <f t="shared" si="8"/>
        <v>6.7770999999999999</v>
      </c>
      <c r="AY53" s="47"/>
      <c r="AZ53" s="47"/>
      <c r="BA53" s="54">
        <v>1E-4</v>
      </c>
      <c r="BB53" s="55" t="s">
        <v>180</v>
      </c>
      <c r="BC53" s="51">
        <f t="shared" si="30"/>
        <v>18.72</v>
      </c>
      <c r="BD53" s="47">
        <f t="shared" si="33"/>
        <v>6.72</v>
      </c>
      <c r="BE53" s="47">
        <f t="shared" si="31"/>
        <v>0</v>
      </c>
      <c r="BF53" s="47"/>
      <c r="BG53" s="56">
        <v>12</v>
      </c>
      <c r="BH53" s="47"/>
      <c r="BI53" s="51">
        <f t="shared" si="10"/>
        <v>0.82799999999999996</v>
      </c>
      <c r="BJ53" s="51">
        <f t="shared" si="11"/>
        <v>0</v>
      </c>
      <c r="BK53" s="47"/>
      <c r="BL53" s="47"/>
      <c r="BM53" s="47"/>
      <c r="BN53" s="47"/>
      <c r="BO53" s="47"/>
      <c r="BP53" s="47">
        <v>0.82799999999999996</v>
      </c>
      <c r="BQ53" s="47"/>
      <c r="BR53" s="47"/>
      <c r="BS53" s="53"/>
      <c r="BT53" s="47"/>
      <c r="BU53" s="47"/>
      <c r="BV53" s="47"/>
      <c r="BW53" s="47"/>
      <c r="BX53" s="47"/>
      <c r="BY53" s="47"/>
      <c r="BZ53" s="47">
        <v>108.29</v>
      </c>
      <c r="CA53" s="47"/>
      <c r="CB53" s="54">
        <f t="shared" si="12"/>
        <v>204.84530000000001</v>
      </c>
      <c r="CC53" s="47"/>
      <c r="CD53" s="57"/>
      <c r="CE53" s="47"/>
      <c r="CF53" s="47">
        <f t="shared" si="13"/>
        <v>204.84530000000001</v>
      </c>
    </row>
    <row r="54" spans="1:84" ht="14.25" customHeight="1">
      <c r="A54" s="47">
        <v>47</v>
      </c>
      <c r="B54" s="47" t="s">
        <v>129</v>
      </c>
      <c r="C54" s="48">
        <v>810002</v>
      </c>
      <c r="D54" s="49" t="s">
        <v>181</v>
      </c>
      <c r="E54" s="49" t="s">
        <v>150</v>
      </c>
      <c r="F54" s="50">
        <f t="shared" si="14"/>
        <v>32</v>
      </c>
      <c r="G54" s="50"/>
      <c r="H54" s="50"/>
      <c r="I54" s="50">
        <v>32</v>
      </c>
      <c r="J54" s="50"/>
      <c r="K54" s="50"/>
      <c r="L54" s="50"/>
      <c r="M54" s="50"/>
      <c r="N54" s="50">
        <v>17</v>
      </c>
      <c r="O54" s="50">
        <f t="shared" si="15"/>
        <v>49</v>
      </c>
      <c r="P54" s="51">
        <f t="shared" si="0"/>
        <v>445.17509999999999</v>
      </c>
      <c r="Q54" s="51">
        <f t="shared" si="1"/>
        <v>343.03910000000002</v>
      </c>
      <c r="R54" s="47">
        <f t="shared" si="16"/>
        <v>102637</v>
      </c>
      <c r="S54" s="58"/>
      <c r="T54" s="51">
        <v>102637</v>
      </c>
      <c r="U54" s="47">
        <f t="shared" si="17"/>
        <v>123.1644</v>
      </c>
      <c r="V54" s="51">
        <f t="shared" si="2"/>
        <v>0</v>
      </c>
      <c r="W54" s="47">
        <f t="shared" si="18"/>
        <v>0</v>
      </c>
      <c r="X54" s="47"/>
      <c r="Y54" s="47"/>
      <c r="Z54" s="47"/>
      <c r="AA54" s="47"/>
      <c r="AB54" s="51">
        <f t="shared" si="19"/>
        <v>46.08</v>
      </c>
      <c r="AC54" s="47">
        <f t="shared" si="20"/>
        <v>0</v>
      </c>
      <c r="AD54" s="47"/>
      <c r="AE54" s="47"/>
      <c r="AF54" s="47">
        <f t="shared" si="21"/>
        <v>46.08</v>
      </c>
      <c r="AG54" s="47">
        <v>38400</v>
      </c>
      <c r="AH54" s="47"/>
      <c r="AI54" s="47">
        <f t="shared" si="22"/>
        <v>82.88</v>
      </c>
      <c r="AJ54" s="53">
        <f t="shared" si="23"/>
        <v>40.3399</v>
      </c>
      <c r="AK54" s="53">
        <f t="shared" si="24"/>
        <v>403399</v>
      </c>
      <c r="AL54" s="47"/>
      <c r="AM54" s="47">
        <f t="shared" si="3"/>
        <v>17.641300000000001</v>
      </c>
      <c r="AN54" s="47">
        <f t="shared" si="4"/>
        <v>16.6111</v>
      </c>
      <c r="AO54" s="47">
        <f t="shared" si="25"/>
        <v>166111</v>
      </c>
      <c r="AP54" s="47">
        <f t="shared" si="5"/>
        <v>1.0302</v>
      </c>
      <c r="AQ54" s="47">
        <f t="shared" si="26"/>
        <v>10302</v>
      </c>
      <c r="AR54" s="47"/>
      <c r="AS54" s="47">
        <f t="shared" si="27"/>
        <v>2.6785999999999999</v>
      </c>
      <c r="AT54" s="47">
        <f t="shared" si="6"/>
        <v>1.2363</v>
      </c>
      <c r="AU54" s="47">
        <f t="shared" si="28"/>
        <v>12363</v>
      </c>
      <c r="AV54" s="47">
        <f t="shared" si="7"/>
        <v>1.4422999999999999</v>
      </c>
      <c r="AW54" s="47">
        <f t="shared" si="29"/>
        <v>14423</v>
      </c>
      <c r="AX54" s="47">
        <f t="shared" si="8"/>
        <v>30.254899999999999</v>
      </c>
      <c r="AY54" s="47"/>
      <c r="AZ54" s="47"/>
      <c r="BA54" s="54">
        <v>1E-4</v>
      </c>
      <c r="BB54" s="55" t="s">
        <v>181</v>
      </c>
      <c r="BC54" s="51">
        <f t="shared" si="30"/>
        <v>97.72</v>
      </c>
      <c r="BD54" s="47">
        <f t="shared" si="33"/>
        <v>30.72</v>
      </c>
      <c r="BE54" s="47">
        <f t="shared" si="31"/>
        <v>0</v>
      </c>
      <c r="BF54" s="47"/>
      <c r="BG54" s="56">
        <v>67</v>
      </c>
      <c r="BH54" s="47"/>
      <c r="BI54" s="51">
        <f t="shared" si="10"/>
        <v>4.4160000000000004</v>
      </c>
      <c r="BJ54" s="51">
        <f t="shared" si="11"/>
        <v>0</v>
      </c>
      <c r="BK54" s="47"/>
      <c r="BL54" s="47"/>
      <c r="BM54" s="47"/>
      <c r="BN54" s="47"/>
      <c r="BO54" s="47"/>
      <c r="BP54" s="47">
        <v>4.4160000000000004</v>
      </c>
      <c r="BQ54" s="47"/>
      <c r="BR54" s="47"/>
      <c r="BS54" s="53"/>
      <c r="BT54" s="47"/>
      <c r="BU54" s="47"/>
      <c r="BV54" s="47"/>
      <c r="BW54" s="47"/>
      <c r="BX54" s="47">
        <v>0.85</v>
      </c>
      <c r="BY54" s="47"/>
      <c r="BZ54" s="47">
        <v>425.27</v>
      </c>
      <c r="CA54" s="47"/>
      <c r="CB54" s="54">
        <f t="shared" si="12"/>
        <v>871.29510000000005</v>
      </c>
      <c r="CC54" s="47"/>
      <c r="CD54" s="57"/>
      <c r="CE54" s="47"/>
      <c r="CF54" s="47">
        <f t="shared" si="13"/>
        <v>871.29510000000005</v>
      </c>
    </row>
    <row r="55" spans="1:84" ht="14.25" customHeight="1">
      <c r="A55" s="47">
        <v>48</v>
      </c>
      <c r="B55" s="47" t="s">
        <v>129</v>
      </c>
      <c r="C55" s="48">
        <v>810006</v>
      </c>
      <c r="D55" s="49" t="s">
        <v>182</v>
      </c>
      <c r="E55" s="49" t="s">
        <v>150</v>
      </c>
      <c r="F55" s="50">
        <f t="shared" si="14"/>
        <v>9</v>
      </c>
      <c r="G55" s="50"/>
      <c r="H55" s="50"/>
      <c r="I55" s="50">
        <f>16-7</f>
        <v>9</v>
      </c>
      <c r="J55" s="50"/>
      <c r="K55" s="50"/>
      <c r="L55" s="50"/>
      <c r="M55" s="50"/>
      <c r="N55" s="50"/>
      <c r="O55" s="50">
        <f t="shared" si="15"/>
        <v>9</v>
      </c>
      <c r="P55" s="51">
        <f t="shared" si="0"/>
        <v>137.47699999999998</v>
      </c>
      <c r="Q55" s="51">
        <f t="shared" si="1"/>
        <v>95.276999999999987</v>
      </c>
      <c r="R55" s="47">
        <f t="shared" si="16"/>
        <v>28161</v>
      </c>
      <c r="S55" s="58"/>
      <c r="T55" s="51">
        <v>28161</v>
      </c>
      <c r="U55" s="47">
        <f t="shared" si="17"/>
        <v>33.793199999999999</v>
      </c>
      <c r="V55" s="51">
        <f t="shared" si="2"/>
        <v>0</v>
      </c>
      <c r="W55" s="47">
        <f t="shared" si="18"/>
        <v>0</v>
      </c>
      <c r="X55" s="47"/>
      <c r="Y55" s="47"/>
      <c r="Z55" s="47"/>
      <c r="AA55" s="47"/>
      <c r="AB55" s="51">
        <f t="shared" si="19"/>
        <v>12.96</v>
      </c>
      <c r="AC55" s="47">
        <f t="shared" si="20"/>
        <v>0</v>
      </c>
      <c r="AD55" s="47"/>
      <c r="AE55" s="47"/>
      <c r="AF55" s="47">
        <f t="shared" si="21"/>
        <v>12.96</v>
      </c>
      <c r="AG55" s="47">
        <v>10800</v>
      </c>
      <c r="AH55" s="47"/>
      <c r="AI55" s="47">
        <f t="shared" si="22"/>
        <v>23.31</v>
      </c>
      <c r="AJ55" s="53">
        <f t="shared" si="23"/>
        <v>11.210100000000001</v>
      </c>
      <c r="AK55" s="53">
        <f t="shared" si="24"/>
        <v>112101</v>
      </c>
      <c r="AL55" s="47"/>
      <c r="AM55" s="47">
        <f t="shared" si="3"/>
        <v>4.8537999999999997</v>
      </c>
      <c r="AN55" s="47">
        <f t="shared" si="4"/>
        <v>4.5682999999999998</v>
      </c>
      <c r="AO55" s="47">
        <f t="shared" si="25"/>
        <v>45683</v>
      </c>
      <c r="AP55" s="47">
        <f t="shared" si="5"/>
        <v>0.28549999999999998</v>
      </c>
      <c r="AQ55" s="47">
        <f t="shared" si="26"/>
        <v>2854.9999999999995</v>
      </c>
      <c r="AR55" s="47"/>
      <c r="AS55" s="47">
        <f t="shared" si="27"/>
        <v>0.74229999999999996</v>
      </c>
      <c r="AT55" s="47">
        <f t="shared" si="6"/>
        <v>0.34260000000000002</v>
      </c>
      <c r="AU55" s="47">
        <f t="shared" si="28"/>
        <v>3426</v>
      </c>
      <c r="AV55" s="47">
        <f t="shared" si="7"/>
        <v>0.3997</v>
      </c>
      <c r="AW55" s="47">
        <f t="shared" si="29"/>
        <v>3997</v>
      </c>
      <c r="AX55" s="47">
        <f t="shared" si="8"/>
        <v>8.4076000000000004</v>
      </c>
      <c r="AY55" s="47"/>
      <c r="AZ55" s="47"/>
      <c r="BA55" s="54">
        <v>1E-4</v>
      </c>
      <c r="BB55" s="55" t="s">
        <v>182</v>
      </c>
      <c r="BC55" s="51">
        <f t="shared" si="30"/>
        <v>34.64</v>
      </c>
      <c r="BD55" s="47">
        <f t="shared" si="33"/>
        <v>8.64</v>
      </c>
      <c r="BE55" s="47">
        <f t="shared" si="31"/>
        <v>0</v>
      </c>
      <c r="BF55" s="47"/>
      <c r="BG55" s="56">
        <v>26</v>
      </c>
      <c r="BH55" s="47"/>
      <c r="BI55" s="51">
        <f t="shared" si="10"/>
        <v>7.56</v>
      </c>
      <c r="BJ55" s="51">
        <f t="shared" si="11"/>
        <v>0</v>
      </c>
      <c r="BK55" s="47"/>
      <c r="BL55" s="47"/>
      <c r="BM55" s="47"/>
      <c r="BN55" s="47"/>
      <c r="BO55" s="47"/>
      <c r="BP55" s="47"/>
      <c r="BQ55" s="47"/>
      <c r="BR55" s="47"/>
      <c r="BS55" s="53"/>
      <c r="BT55" s="47"/>
      <c r="BU55" s="47"/>
      <c r="BV55" s="47"/>
      <c r="BW55" s="47">
        <v>7.56</v>
      </c>
      <c r="BX55" s="47">
        <v>35.5</v>
      </c>
      <c r="BY55" s="47"/>
      <c r="BZ55" s="47">
        <v>32</v>
      </c>
      <c r="CA55" s="47"/>
      <c r="CB55" s="54">
        <f t="shared" si="12"/>
        <v>204.97699999999998</v>
      </c>
      <c r="CC55" s="47"/>
      <c r="CD55" s="57"/>
      <c r="CE55" s="47"/>
      <c r="CF55" s="47">
        <f t="shared" si="13"/>
        <v>204.97699999999998</v>
      </c>
    </row>
    <row r="56" spans="1:84" ht="14.25" customHeight="1">
      <c r="A56" s="47">
        <v>49</v>
      </c>
      <c r="B56" s="47" t="s">
        <v>129</v>
      </c>
      <c r="C56" s="48">
        <v>810008</v>
      </c>
      <c r="D56" s="49" t="s">
        <v>183</v>
      </c>
      <c r="E56" s="49" t="s">
        <v>150</v>
      </c>
      <c r="F56" s="50">
        <f t="shared" si="14"/>
        <v>70</v>
      </c>
      <c r="G56" s="50"/>
      <c r="H56" s="50"/>
      <c r="I56" s="50">
        <f>23+28+7+1+11</f>
        <v>70</v>
      </c>
      <c r="J56" s="50"/>
      <c r="K56" s="50"/>
      <c r="L56" s="50"/>
      <c r="M56" s="50"/>
      <c r="N56" s="50"/>
      <c r="O56" s="50">
        <f t="shared" si="15"/>
        <v>70</v>
      </c>
      <c r="P56" s="51">
        <f t="shared" si="0"/>
        <v>1081.739</v>
      </c>
      <c r="Q56" s="51">
        <f t="shared" si="1"/>
        <v>764.53899999999999</v>
      </c>
      <c r="R56" s="47">
        <f t="shared" si="16"/>
        <v>222484</v>
      </c>
      <c r="S56" s="58"/>
      <c r="T56" s="51">
        <v>222484</v>
      </c>
      <c r="U56" s="47">
        <f t="shared" si="17"/>
        <v>266.98079999999999</v>
      </c>
      <c r="V56" s="51">
        <f t="shared" si="2"/>
        <v>12.48</v>
      </c>
      <c r="W56" s="47">
        <f t="shared" si="18"/>
        <v>0</v>
      </c>
      <c r="X56" s="47">
        <v>12.48</v>
      </c>
      <c r="Y56" s="47"/>
      <c r="Z56" s="47"/>
      <c r="AA56" s="47"/>
      <c r="AB56" s="51">
        <f t="shared" si="19"/>
        <v>106.104</v>
      </c>
      <c r="AC56" s="47">
        <f t="shared" si="20"/>
        <v>0</v>
      </c>
      <c r="AD56" s="47">
        <v>5.3040000000000003</v>
      </c>
      <c r="AE56" s="47"/>
      <c r="AF56" s="47">
        <f t="shared" si="21"/>
        <v>100.8</v>
      </c>
      <c r="AG56" s="47">
        <f>70*1200</f>
        <v>84000</v>
      </c>
      <c r="AH56" s="47"/>
      <c r="AI56" s="47">
        <f t="shared" si="22"/>
        <v>181.3</v>
      </c>
      <c r="AJ56" s="53">
        <f t="shared" si="23"/>
        <v>87.852900000000005</v>
      </c>
      <c r="AK56" s="53">
        <f t="shared" si="24"/>
        <v>878529</v>
      </c>
      <c r="AL56" s="47"/>
      <c r="AM56" s="47">
        <f t="shared" si="3"/>
        <v>38.103900000000003</v>
      </c>
      <c r="AN56" s="47">
        <f t="shared" si="4"/>
        <v>35.862499999999997</v>
      </c>
      <c r="AO56" s="47">
        <f t="shared" si="25"/>
        <v>358625</v>
      </c>
      <c r="AP56" s="47">
        <f t="shared" si="5"/>
        <v>2.2414000000000001</v>
      </c>
      <c r="AQ56" s="47">
        <f t="shared" si="26"/>
        <v>22414</v>
      </c>
      <c r="AR56" s="47"/>
      <c r="AS56" s="47">
        <f t="shared" si="27"/>
        <v>5.8277000000000001</v>
      </c>
      <c r="AT56" s="47">
        <f t="shared" si="6"/>
        <v>2.6897000000000002</v>
      </c>
      <c r="AU56" s="47">
        <f t="shared" si="28"/>
        <v>26897.000000000004</v>
      </c>
      <c r="AV56" s="47">
        <f t="shared" si="7"/>
        <v>3.1379999999999999</v>
      </c>
      <c r="AW56" s="47">
        <f t="shared" si="29"/>
        <v>31380</v>
      </c>
      <c r="AX56" s="47">
        <f t="shared" si="8"/>
        <v>65.889700000000005</v>
      </c>
      <c r="AY56" s="47"/>
      <c r="AZ56" s="47"/>
      <c r="BA56" s="54">
        <v>1E-4</v>
      </c>
      <c r="BB56" s="55" t="s">
        <v>183</v>
      </c>
      <c r="BC56" s="51">
        <f t="shared" si="30"/>
        <v>317.2</v>
      </c>
      <c r="BD56" s="47">
        <f t="shared" si="33"/>
        <v>67.2</v>
      </c>
      <c r="BE56" s="47">
        <f t="shared" si="31"/>
        <v>0</v>
      </c>
      <c r="BF56" s="47"/>
      <c r="BG56" s="56">
        <v>190</v>
      </c>
      <c r="BH56" s="47">
        <v>60</v>
      </c>
      <c r="BI56" s="51">
        <f t="shared" si="10"/>
        <v>0</v>
      </c>
      <c r="BJ56" s="51">
        <f t="shared" si="11"/>
        <v>0</v>
      </c>
      <c r="BK56" s="47"/>
      <c r="BL56" s="47"/>
      <c r="BM56" s="47"/>
      <c r="BN56" s="47"/>
      <c r="BO56" s="47"/>
      <c r="BP56" s="47"/>
      <c r="BQ56" s="47"/>
      <c r="BR56" s="47"/>
      <c r="BS56" s="53"/>
      <c r="BT56" s="47"/>
      <c r="BU56" s="47"/>
      <c r="BV56" s="47"/>
      <c r="BW56" s="47"/>
      <c r="BX56" s="47">
        <v>40</v>
      </c>
      <c r="BY56" s="47"/>
      <c r="BZ56" s="47"/>
      <c r="CA56" s="47"/>
      <c r="CB56" s="54">
        <f t="shared" si="12"/>
        <v>1121.739</v>
      </c>
      <c r="CC56" s="47"/>
      <c r="CD56" s="57"/>
      <c r="CE56" s="47"/>
      <c r="CF56" s="47">
        <f t="shared" si="13"/>
        <v>1121.739</v>
      </c>
    </row>
    <row r="57" spans="1:84" ht="14.25" customHeight="1">
      <c r="A57" s="47">
        <v>50</v>
      </c>
      <c r="B57" s="47" t="s">
        <v>129</v>
      </c>
      <c r="C57" s="48">
        <v>804001</v>
      </c>
      <c r="D57" s="49" t="s">
        <v>184</v>
      </c>
      <c r="E57" s="49" t="s">
        <v>131</v>
      </c>
      <c r="F57" s="50">
        <f t="shared" si="14"/>
        <v>106</v>
      </c>
      <c r="G57" s="50">
        <f>50-15</f>
        <v>35</v>
      </c>
      <c r="H57" s="50">
        <v>1</v>
      </c>
      <c r="I57" s="50">
        <v>38</v>
      </c>
      <c r="J57" s="50">
        <f>34-2</f>
        <v>32</v>
      </c>
      <c r="K57" s="50"/>
      <c r="L57" s="50"/>
      <c r="M57" s="50"/>
      <c r="N57" s="50">
        <v>36</v>
      </c>
      <c r="O57" s="50">
        <f t="shared" si="15"/>
        <v>142</v>
      </c>
      <c r="P57" s="51">
        <f t="shared" si="0"/>
        <v>3263.4852999999998</v>
      </c>
      <c r="Q57" s="51">
        <f t="shared" si="1"/>
        <v>1239.4017000000001</v>
      </c>
      <c r="R57" s="47">
        <f t="shared" si="16"/>
        <v>345939</v>
      </c>
      <c r="S57" s="58">
        <v>140424</v>
      </c>
      <c r="T57" s="51">
        <v>205515</v>
      </c>
      <c r="U57" s="47">
        <f t="shared" si="17"/>
        <v>415.1268</v>
      </c>
      <c r="V57" s="51">
        <f t="shared" si="2"/>
        <v>150.12</v>
      </c>
      <c r="W57" s="47">
        <f t="shared" si="18"/>
        <v>81</v>
      </c>
      <c r="X57" s="47">
        <v>69.12</v>
      </c>
      <c r="Y57" s="47"/>
      <c r="Z57" s="47"/>
      <c r="AA57" s="47"/>
      <c r="AB57" s="51">
        <f t="shared" si="19"/>
        <v>188.55360000000002</v>
      </c>
      <c r="AC57" s="47">
        <f t="shared" si="20"/>
        <v>14.042400000000001</v>
      </c>
      <c r="AD57" s="47">
        <v>11.016</v>
      </c>
      <c r="AE57" s="47"/>
      <c r="AF57" s="47">
        <f t="shared" si="21"/>
        <v>163.49520000000001</v>
      </c>
      <c r="AG57" s="47">
        <v>136246</v>
      </c>
      <c r="AH57" s="47"/>
      <c r="AI57" s="47">
        <f t="shared" si="22"/>
        <v>181.3</v>
      </c>
      <c r="AJ57" s="53">
        <f t="shared" si="23"/>
        <v>136.79429999999999</v>
      </c>
      <c r="AK57" s="53">
        <f t="shared" si="24"/>
        <v>1367943</v>
      </c>
      <c r="AL57" s="47"/>
      <c r="AM57" s="47">
        <f t="shared" si="3"/>
        <v>57.851300000000002</v>
      </c>
      <c r="AN57" s="47">
        <f t="shared" si="4"/>
        <v>54.464100000000002</v>
      </c>
      <c r="AO57" s="47">
        <f t="shared" si="25"/>
        <v>544641</v>
      </c>
      <c r="AP57" s="47">
        <f t="shared" si="5"/>
        <v>3.3871000000000002</v>
      </c>
      <c r="AQ57" s="47">
        <f t="shared" si="26"/>
        <v>33871</v>
      </c>
      <c r="AR57" s="47"/>
      <c r="AS57" s="47">
        <f t="shared" si="27"/>
        <v>7.06</v>
      </c>
      <c r="AT57" s="47">
        <f t="shared" si="6"/>
        <v>4.0646000000000004</v>
      </c>
      <c r="AU57" s="47">
        <f t="shared" si="28"/>
        <v>40646.000000000007</v>
      </c>
      <c r="AV57" s="47">
        <f t="shared" si="7"/>
        <v>2.9954000000000001</v>
      </c>
      <c r="AW57" s="47">
        <f t="shared" si="29"/>
        <v>29954</v>
      </c>
      <c r="AX57" s="47">
        <f t="shared" si="8"/>
        <v>102.59569999999999</v>
      </c>
      <c r="AY57" s="47"/>
      <c r="AZ57" s="47"/>
      <c r="BA57" s="54">
        <v>1E-4</v>
      </c>
      <c r="BB57" s="55" t="s">
        <v>184</v>
      </c>
      <c r="BC57" s="51">
        <f t="shared" si="30"/>
        <v>2019.556</v>
      </c>
      <c r="BD57" s="47">
        <f t="shared" si="33"/>
        <v>110.4</v>
      </c>
      <c r="BE57" s="47">
        <f t="shared" si="31"/>
        <v>27.155999999999999</v>
      </c>
      <c r="BF57" s="47">
        <v>22630</v>
      </c>
      <c r="BG57" s="56">
        <v>600</v>
      </c>
      <c r="BH57" s="47">
        <v>1282</v>
      </c>
      <c r="BI57" s="51">
        <f t="shared" si="10"/>
        <v>4.5275999999999996</v>
      </c>
      <c r="BJ57" s="51">
        <f t="shared" si="11"/>
        <v>0</v>
      </c>
      <c r="BK57" s="47"/>
      <c r="BL57" s="47"/>
      <c r="BM57" s="47"/>
      <c r="BN57" s="47"/>
      <c r="BO57" s="47"/>
      <c r="BP57" s="47">
        <v>4.5275999999999996</v>
      </c>
      <c r="BQ57" s="47"/>
      <c r="BR57" s="47"/>
      <c r="BS57" s="53"/>
      <c r="BT57" s="47"/>
      <c r="BU57" s="47"/>
      <c r="BV57" s="47"/>
      <c r="BW57" s="47"/>
      <c r="BX57" s="47"/>
      <c r="BY57" s="47">
        <v>460</v>
      </c>
      <c r="BZ57" s="47">
        <v>4286.7</v>
      </c>
      <c r="CA57" s="47"/>
      <c r="CB57" s="54">
        <f t="shared" si="12"/>
        <v>8010.1852999999992</v>
      </c>
      <c r="CC57" s="47">
        <v>707</v>
      </c>
      <c r="CD57" s="57"/>
      <c r="CE57" s="47"/>
      <c r="CF57" s="47">
        <f t="shared" si="13"/>
        <v>8717.1852999999992</v>
      </c>
    </row>
    <row r="58" spans="1:84" ht="14.25" customHeight="1">
      <c r="A58" s="47">
        <v>51</v>
      </c>
      <c r="B58" s="47" t="s">
        <v>129</v>
      </c>
      <c r="C58" s="48">
        <v>804002</v>
      </c>
      <c r="D58" s="49" t="s">
        <v>185</v>
      </c>
      <c r="E58" s="49" t="s">
        <v>150</v>
      </c>
      <c r="F58" s="50">
        <f t="shared" si="14"/>
        <v>34</v>
      </c>
      <c r="G58" s="50"/>
      <c r="H58" s="50"/>
      <c r="I58" s="50">
        <v>30</v>
      </c>
      <c r="J58" s="50">
        <v>4</v>
      </c>
      <c r="K58" s="50"/>
      <c r="L58" s="50"/>
      <c r="M58" s="50"/>
      <c r="N58" s="50">
        <v>8</v>
      </c>
      <c r="O58" s="50">
        <f t="shared" si="15"/>
        <v>42</v>
      </c>
      <c r="P58" s="51">
        <f t="shared" si="0"/>
        <v>457.53519999999997</v>
      </c>
      <c r="Q58" s="51">
        <f t="shared" si="1"/>
        <v>354.06720000000001</v>
      </c>
      <c r="R58" s="47">
        <f t="shared" si="16"/>
        <v>102801</v>
      </c>
      <c r="S58" s="58"/>
      <c r="T58" s="51">
        <v>102801</v>
      </c>
      <c r="U58" s="47">
        <f t="shared" si="17"/>
        <v>123.3612</v>
      </c>
      <c r="V58" s="51">
        <f t="shared" si="2"/>
        <v>0</v>
      </c>
      <c r="W58" s="47">
        <f t="shared" si="18"/>
        <v>0</v>
      </c>
      <c r="X58" s="47"/>
      <c r="Y58" s="47"/>
      <c r="Z58" s="47"/>
      <c r="AA58" s="47"/>
      <c r="AB58" s="51">
        <f t="shared" si="19"/>
        <v>48.96</v>
      </c>
      <c r="AC58" s="47">
        <f t="shared" si="20"/>
        <v>0</v>
      </c>
      <c r="AD58" s="47"/>
      <c r="AE58" s="47"/>
      <c r="AF58" s="47">
        <f t="shared" si="21"/>
        <v>48.96</v>
      </c>
      <c r="AG58" s="47">
        <v>40800</v>
      </c>
      <c r="AH58" s="47"/>
      <c r="AI58" s="47">
        <f t="shared" si="22"/>
        <v>88.06</v>
      </c>
      <c r="AJ58" s="53">
        <f t="shared" si="23"/>
        <v>41.661000000000001</v>
      </c>
      <c r="AK58" s="53">
        <f t="shared" si="24"/>
        <v>416610</v>
      </c>
      <c r="AL58" s="47"/>
      <c r="AM58" s="47">
        <f t="shared" si="3"/>
        <v>18.030799999999999</v>
      </c>
      <c r="AN58" s="47">
        <f t="shared" si="4"/>
        <v>16.973700000000001</v>
      </c>
      <c r="AO58" s="47">
        <f t="shared" si="25"/>
        <v>169737</v>
      </c>
      <c r="AP58" s="47">
        <f t="shared" si="5"/>
        <v>1.0570999999999999</v>
      </c>
      <c r="AQ58" s="47">
        <f t="shared" si="26"/>
        <v>10571</v>
      </c>
      <c r="AR58" s="47"/>
      <c r="AS58" s="47">
        <f t="shared" si="27"/>
        <v>2.7484999999999999</v>
      </c>
      <c r="AT58" s="47">
        <f t="shared" si="6"/>
        <v>1.2685</v>
      </c>
      <c r="AU58" s="47">
        <f t="shared" si="28"/>
        <v>12685</v>
      </c>
      <c r="AV58" s="47">
        <f t="shared" si="7"/>
        <v>1.4799</v>
      </c>
      <c r="AW58" s="47">
        <f t="shared" si="29"/>
        <v>14799</v>
      </c>
      <c r="AX58" s="47">
        <f t="shared" si="8"/>
        <v>31.245699999999999</v>
      </c>
      <c r="AY58" s="47"/>
      <c r="AZ58" s="47"/>
      <c r="BA58" s="54">
        <v>1E-4</v>
      </c>
      <c r="BB58" s="55" t="s">
        <v>185</v>
      </c>
      <c r="BC58" s="51">
        <f t="shared" si="30"/>
        <v>102.64</v>
      </c>
      <c r="BD58" s="47">
        <f t="shared" si="33"/>
        <v>32.64</v>
      </c>
      <c r="BE58" s="47">
        <f t="shared" si="31"/>
        <v>0</v>
      </c>
      <c r="BF58" s="47"/>
      <c r="BG58" s="56">
        <v>70</v>
      </c>
      <c r="BH58" s="47"/>
      <c r="BI58" s="51">
        <f t="shared" si="10"/>
        <v>0.82799999999999996</v>
      </c>
      <c r="BJ58" s="51">
        <f t="shared" si="11"/>
        <v>0</v>
      </c>
      <c r="BK58" s="47"/>
      <c r="BL58" s="47"/>
      <c r="BM58" s="47"/>
      <c r="BN58" s="47"/>
      <c r="BO58" s="47"/>
      <c r="BP58" s="47">
        <v>0.82799999999999996</v>
      </c>
      <c r="BQ58" s="47"/>
      <c r="BR58" s="47"/>
      <c r="BS58" s="53"/>
      <c r="BT58" s="47"/>
      <c r="BU58" s="47"/>
      <c r="BV58" s="47"/>
      <c r="BW58" s="47"/>
      <c r="BX58" s="47"/>
      <c r="BY58" s="47"/>
      <c r="BZ58" s="47"/>
      <c r="CA58" s="47"/>
      <c r="CB58" s="54">
        <f t="shared" si="12"/>
        <v>457.53519999999997</v>
      </c>
      <c r="CC58" s="47"/>
      <c r="CD58" s="57"/>
      <c r="CE58" s="47">
        <v>95.4</v>
      </c>
      <c r="CF58" s="47">
        <f t="shared" si="13"/>
        <v>552.93520000000001</v>
      </c>
    </row>
    <row r="59" spans="1:84" ht="14.25" customHeight="1">
      <c r="A59" s="47">
        <v>52</v>
      </c>
      <c r="B59" s="47" t="s">
        <v>129</v>
      </c>
      <c r="C59" s="48">
        <v>804003</v>
      </c>
      <c r="D59" s="49" t="s">
        <v>186</v>
      </c>
      <c r="E59" s="49" t="s">
        <v>150</v>
      </c>
      <c r="F59" s="50">
        <f t="shared" si="14"/>
        <v>10</v>
      </c>
      <c r="G59" s="50"/>
      <c r="H59" s="50"/>
      <c r="I59" s="50">
        <v>10</v>
      </c>
      <c r="J59" s="50"/>
      <c r="K59" s="50"/>
      <c r="L59" s="50"/>
      <c r="M59" s="50"/>
      <c r="N59" s="50"/>
      <c r="O59" s="50">
        <f t="shared" si="15"/>
        <v>10</v>
      </c>
      <c r="P59" s="51">
        <f t="shared" si="0"/>
        <v>122.61189999999999</v>
      </c>
      <c r="Q59" s="51">
        <f t="shared" si="1"/>
        <v>113.0119</v>
      </c>
      <c r="R59" s="47">
        <f t="shared" si="16"/>
        <v>35613</v>
      </c>
      <c r="S59" s="58"/>
      <c r="T59" s="51">
        <v>35613</v>
      </c>
      <c r="U59" s="47">
        <f t="shared" si="17"/>
        <v>42.735599999999998</v>
      </c>
      <c r="V59" s="51">
        <f t="shared" si="2"/>
        <v>0</v>
      </c>
      <c r="W59" s="47">
        <f t="shared" si="18"/>
        <v>0</v>
      </c>
      <c r="X59" s="47"/>
      <c r="Y59" s="47"/>
      <c r="Z59" s="47"/>
      <c r="AA59" s="47"/>
      <c r="AB59" s="51">
        <f t="shared" si="19"/>
        <v>14.4</v>
      </c>
      <c r="AC59" s="47">
        <f t="shared" si="20"/>
        <v>0</v>
      </c>
      <c r="AD59" s="47"/>
      <c r="AE59" s="47"/>
      <c r="AF59" s="47">
        <f t="shared" si="21"/>
        <v>14.4</v>
      </c>
      <c r="AG59" s="47">
        <v>12000</v>
      </c>
      <c r="AH59" s="47"/>
      <c r="AI59" s="47">
        <f t="shared" si="22"/>
        <v>25.9</v>
      </c>
      <c r="AJ59" s="53">
        <f t="shared" si="23"/>
        <v>13.2857</v>
      </c>
      <c r="AK59" s="53">
        <f t="shared" si="24"/>
        <v>132857</v>
      </c>
      <c r="AL59" s="47"/>
      <c r="AM59" s="47">
        <f t="shared" si="3"/>
        <v>5.8339999999999996</v>
      </c>
      <c r="AN59" s="47">
        <f t="shared" si="4"/>
        <v>5.4908000000000001</v>
      </c>
      <c r="AO59" s="47">
        <f t="shared" si="25"/>
        <v>54908</v>
      </c>
      <c r="AP59" s="47">
        <f t="shared" si="5"/>
        <v>0.34320000000000001</v>
      </c>
      <c r="AQ59" s="47">
        <f t="shared" si="26"/>
        <v>3432</v>
      </c>
      <c r="AR59" s="47"/>
      <c r="AS59" s="47">
        <f t="shared" si="27"/>
        <v>0.89229999999999998</v>
      </c>
      <c r="AT59" s="47">
        <f t="shared" si="6"/>
        <v>0.4118</v>
      </c>
      <c r="AU59" s="47">
        <f t="shared" si="28"/>
        <v>4118</v>
      </c>
      <c r="AV59" s="47">
        <f t="shared" si="7"/>
        <v>0.48039999999999999</v>
      </c>
      <c r="AW59" s="47">
        <f t="shared" si="29"/>
        <v>4804</v>
      </c>
      <c r="AX59" s="47">
        <f t="shared" si="8"/>
        <v>9.9642999999999997</v>
      </c>
      <c r="AY59" s="47"/>
      <c r="AZ59" s="47"/>
      <c r="BA59" s="54">
        <v>1E-4</v>
      </c>
      <c r="BB59" s="55" t="s">
        <v>186</v>
      </c>
      <c r="BC59" s="51">
        <f t="shared" si="30"/>
        <v>9.6</v>
      </c>
      <c r="BD59" s="47">
        <f t="shared" si="33"/>
        <v>9.6</v>
      </c>
      <c r="BE59" s="47">
        <f t="shared" si="31"/>
        <v>0</v>
      </c>
      <c r="BF59" s="47"/>
      <c r="BG59" s="56">
        <v>0</v>
      </c>
      <c r="BH59" s="47"/>
      <c r="BI59" s="51">
        <f t="shared" si="10"/>
        <v>0</v>
      </c>
      <c r="BJ59" s="51">
        <f t="shared" si="11"/>
        <v>0</v>
      </c>
      <c r="BK59" s="47"/>
      <c r="BL59" s="47"/>
      <c r="BM59" s="47"/>
      <c r="BN59" s="47"/>
      <c r="BO59" s="47"/>
      <c r="BP59" s="47"/>
      <c r="BQ59" s="47"/>
      <c r="BR59" s="47"/>
      <c r="BS59" s="53"/>
      <c r="BT59" s="47"/>
      <c r="BU59" s="47"/>
      <c r="BV59" s="47"/>
      <c r="BW59" s="47"/>
      <c r="BX59" s="47"/>
      <c r="BY59" s="47"/>
      <c r="BZ59" s="47">
        <v>2757</v>
      </c>
      <c r="CA59" s="47"/>
      <c r="CB59" s="54">
        <f t="shared" si="12"/>
        <v>2879.6118999999999</v>
      </c>
      <c r="CC59" s="47">
        <v>5900</v>
      </c>
      <c r="CD59" s="57"/>
      <c r="CE59" s="47"/>
      <c r="CF59" s="47">
        <f t="shared" si="13"/>
        <v>8779.6118999999999</v>
      </c>
    </row>
    <row r="60" spans="1:84" ht="14.25" customHeight="1">
      <c r="A60" s="47">
        <v>53</v>
      </c>
      <c r="B60" s="47" t="s">
        <v>129</v>
      </c>
      <c r="C60" s="48">
        <v>804004</v>
      </c>
      <c r="D60" s="49" t="s">
        <v>187</v>
      </c>
      <c r="E60" s="49" t="s">
        <v>150</v>
      </c>
      <c r="F60" s="50">
        <f t="shared" si="14"/>
        <v>32</v>
      </c>
      <c r="G60" s="50"/>
      <c r="H60" s="50"/>
      <c r="I60" s="50">
        <v>32</v>
      </c>
      <c r="J60" s="50"/>
      <c r="K60" s="50"/>
      <c r="L60" s="50"/>
      <c r="M60" s="50"/>
      <c r="N60" s="50"/>
      <c r="O60" s="50">
        <f t="shared" si="15"/>
        <v>32</v>
      </c>
      <c r="P60" s="51">
        <f t="shared" si="0"/>
        <v>607.49720000000002</v>
      </c>
      <c r="Q60" s="51">
        <f t="shared" si="1"/>
        <v>345.77719999999999</v>
      </c>
      <c r="R60" s="47">
        <f t="shared" si="16"/>
        <v>104370</v>
      </c>
      <c r="S60" s="58"/>
      <c r="T60" s="51">
        <v>104370</v>
      </c>
      <c r="U60" s="47">
        <f t="shared" si="17"/>
        <v>125.244</v>
      </c>
      <c r="V60" s="51">
        <f t="shared" si="2"/>
        <v>0</v>
      </c>
      <c r="W60" s="47">
        <f t="shared" si="18"/>
        <v>0</v>
      </c>
      <c r="X60" s="47"/>
      <c r="Y60" s="47"/>
      <c r="Z60" s="47"/>
      <c r="AA60" s="47"/>
      <c r="AB60" s="51">
        <f t="shared" si="19"/>
        <v>46.08</v>
      </c>
      <c r="AC60" s="47">
        <f t="shared" si="20"/>
        <v>0</v>
      </c>
      <c r="AD60" s="47"/>
      <c r="AE60" s="47"/>
      <c r="AF60" s="47">
        <f t="shared" si="21"/>
        <v>46.08</v>
      </c>
      <c r="AG60" s="47">
        <v>38400</v>
      </c>
      <c r="AH60" s="47"/>
      <c r="AI60" s="47">
        <f t="shared" si="22"/>
        <v>82.88</v>
      </c>
      <c r="AJ60" s="53">
        <f t="shared" si="23"/>
        <v>40.672600000000003</v>
      </c>
      <c r="AK60" s="53">
        <f t="shared" si="24"/>
        <v>406726</v>
      </c>
      <c r="AL60" s="47"/>
      <c r="AM60" s="47">
        <f t="shared" si="3"/>
        <v>17.6905</v>
      </c>
      <c r="AN60" s="47">
        <f t="shared" si="4"/>
        <v>16.649899999999999</v>
      </c>
      <c r="AO60" s="47">
        <f t="shared" si="25"/>
        <v>166499</v>
      </c>
      <c r="AP60" s="47">
        <f t="shared" si="5"/>
        <v>1.0406</v>
      </c>
      <c r="AQ60" s="47">
        <f t="shared" si="26"/>
        <v>10406</v>
      </c>
      <c r="AR60" s="47"/>
      <c r="AS60" s="47">
        <f t="shared" si="27"/>
        <v>2.7056</v>
      </c>
      <c r="AT60" s="47">
        <f t="shared" si="6"/>
        <v>1.2486999999999999</v>
      </c>
      <c r="AU60" s="47">
        <f t="shared" si="28"/>
        <v>12487</v>
      </c>
      <c r="AV60" s="47">
        <f t="shared" si="7"/>
        <v>1.4569000000000001</v>
      </c>
      <c r="AW60" s="47">
        <f t="shared" si="29"/>
        <v>14569</v>
      </c>
      <c r="AX60" s="47">
        <f t="shared" si="8"/>
        <v>30.5045</v>
      </c>
      <c r="AY60" s="47"/>
      <c r="AZ60" s="47"/>
      <c r="BA60" s="54">
        <v>1E-4</v>
      </c>
      <c r="BB60" s="55" t="s">
        <v>187</v>
      </c>
      <c r="BC60" s="51">
        <f t="shared" si="30"/>
        <v>261.72000000000003</v>
      </c>
      <c r="BD60" s="47">
        <f t="shared" si="33"/>
        <v>30.72</v>
      </c>
      <c r="BE60" s="47">
        <f t="shared" si="31"/>
        <v>0</v>
      </c>
      <c r="BF60" s="47"/>
      <c r="BG60" s="56">
        <v>165</v>
      </c>
      <c r="BH60" s="47">
        <v>66</v>
      </c>
      <c r="BI60" s="51">
        <f t="shared" si="10"/>
        <v>0</v>
      </c>
      <c r="BJ60" s="51">
        <f t="shared" si="11"/>
        <v>0</v>
      </c>
      <c r="BK60" s="47"/>
      <c r="BL60" s="47"/>
      <c r="BM60" s="47"/>
      <c r="BN60" s="47"/>
      <c r="BO60" s="47"/>
      <c r="BP60" s="47"/>
      <c r="BQ60" s="47"/>
      <c r="BR60" s="47"/>
      <c r="BS60" s="53"/>
      <c r="BT60" s="47"/>
      <c r="BU60" s="47"/>
      <c r="BV60" s="47"/>
      <c r="BW60" s="47"/>
      <c r="BX60" s="47"/>
      <c r="BY60" s="47"/>
      <c r="BZ60" s="47"/>
      <c r="CA60" s="47"/>
      <c r="CB60" s="54">
        <f t="shared" si="12"/>
        <v>607.49720000000002</v>
      </c>
      <c r="CC60" s="47"/>
      <c r="CD60" s="57"/>
      <c r="CE60" s="47"/>
      <c r="CF60" s="47">
        <f t="shared" si="13"/>
        <v>607.49720000000002</v>
      </c>
    </row>
    <row r="61" spans="1:84" ht="14.25" customHeight="1">
      <c r="A61" s="47">
        <v>54</v>
      </c>
      <c r="B61" s="47" t="s">
        <v>129</v>
      </c>
      <c r="C61" s="48">
        <v>804005</v>
      </c>
      <c r="D61" s="49" t="s">
        <v>188</v>
      </c>
      <c r="E61" s="49" t="s">
        <v>141</v>
      </c>
      <c r="F61" s="50">
        <f t="shared" si="14"/>
        <v>17</v>
      </c>
      <c r="G61" s="50">
        <v>15</v>
      </c>
      <c r="H61" s="50"/>
      <c r="I61" s="50"/>
      <c r="J61" s="50">
        <v>2</v>
      </c>
      <c r="K61" s="50"/>
      <c r="L61" s="50"/>
      <c r="M61" s="50"/>
      <c r="N61" s="50"/>
      <c r="O61" s="50">
        <f t="shared" si="15"/>
        <v>17</v>
      </c>
      <c r="P61" s="51">
        <f t="shared" si="0"/>
        <v>535.54240000000004</v>
      </c>
      <c r="Q61" s="51">
        <f t="shared" si="1"/>
        <v>188.70240000000001</v>
      </c>
      <c r="R61" s="47">
        <f t="shared" si="16"/>
        <v>56099</v>
      </c>
      <c r="S61" s="58">
        <v>51312</v>
      </c>
      <c r="T61" s="51">
        <v>4787</v>
      </c>
      <c r="U61" s="47">
        <f t="shared" si="17"/>
        <v>67.318799999999996</v>
      </c>
      <c r="V61" s="51">
        <f t="shared" si="2"/>
        <v>33.75</v>
      </c>
      <c r="W61" s="47">
        <f t="shared" si="18"/>
        <v>33.75</v>
      </c>
      <c r="X61" s="47"/>
      <c r="Y61" s="47"/>
      <c r="Z61" s="47"/>
      <c r="AA61" s="47"/>
      <c r="AB61" s="51">
        <f t="shared" si="19"/>
        <v>33.561599999999999</v>
      </c>
      <c r="AC61" s="47">
        <f t="shared" si="20"/>
        <v>5.1311999999999998</v>
      </c>
      <c r="AD61" s="47"/>
      <c r="AE61" s="47"/>
      <c r="AF61" s="47">
        <f t="shared" si="21"/>
        <v>28.430399999999999</v>
      </c>
      <c r="AG61" s="47">
        <v>23692</v>
      </c>
      <c r="AH61" s="47"/>
      <c r="AI61" s="47">
        <f t="shared" si="22"/>
        <v>5.18</v>
      </c>
      <c r="AJ61" s="53">
        <f t="shared" si="23"/>
        <v>22.369700000000002</v>
      </c>
      <c r="AK61" s="53">
        <f t="shared" si="24"/>
        <v>223697.00000000003</v>
      </c>
      <c r="AL61" s="47"/>
      <c r="AM61" s="47">
        <f t="shared" si="3"/>
        <v>9.0311000000000003</v>
      </c>
      <c r="AN61" s="47">
        <f t="shared" si="4"/>
        <v>8.4999000000000002</v>
      </c>
      <c r="AO61" s="47">
        <f t="shared" si="25"/>
        <v>84999</v>
      </c>
      <c r="AP61" s="47">
        <f t="shared" si="5"/>
        <v>0.53120000000000001</v>
      </c>
      <c r="AQ61" s="47">
        <f t="shared" si="26"/>
        <v>5312</v>
      </c>
      <c r="AR61" s="47"/>
      <c r="AS61" s="47">
        <f t="shared" si="27"/>
        <v>0.71399999999999997</v>
      </c>
      <c r="AT61" s="47">
        <f t="shared" si="6"/>
        <v>0.63749999999999996</v>
      </c>
      <c r="AU61" s="47">
        <f t="shared" si="28"/>
        <v>6375</v>
      </c>
      <c r="AV61" s="47">
        <f t="shared" si="7"/>
        <v>7.6499999999999999E-2</v>
      </c>
      <c r="AW61" s="47">
        <f t="shared" si="29"/>
        <v>765</v>
      </c>
      <c r="AX61" s="47">
        <f t="shared" si="8"/>
        <v>16.777200000000001</v>
      </c>
      <c r="AY61" s="47"/>
      <c r="AZ61" s="47"/>
      <c r="BA61" s="54">
        <v>1E-4</v>
      </c>
      <c r="BB61" s="55" t="s">
        <v>188</v>
      </c>
      <c r="BC61" s="51">
        <f t="shared" si="30"/>
        <v>346.84000000000003</v>
      </c>
      <c r="BD61" s="47">
        <f t="shared" si="33"/>
        <v>19.920000000000002</v>
      </c>
      <c r="BE61" s="47">
        <f t="shared" si="31"/>
        <v>10.92</v>
      </c>
      <c r="BF61" s="47">
        <v>9100</v>
      </c>
      <c r="BG61" s="56">
        <v>16</v>
      </c>
      <c r="BH61" s="47">
        <v>300</v>
      </c>
      <c r="BI61" s="51">
        <f t="shared" si="10"/>
        <v>0</v>
      </c>
      <c r="BJ61" s="51">
        <f t="shared" si="11"/>
        <v>0</v>
      </c>
      <c r="BK61" s="47"/>
      <c r="BL61" s="47"/>
      <c r="BM61" s="47"/>
      <c r="BN61" s="47"/>
      <c r="BO61" s="47"/>
      <c r="BP61" s="47"/>
      <c r="BQ61" s="47"/>
      <c r="BR61" s="47"/>
      <c r="BS61" s="53"/>
      <c r="BT61" s="47"/>
      <c r="BU61" s="47"/>
      <c r="BV61" s="47"/>
      <c r="BW61" s="47"/>
      <c r="BX61" s="47"/>
      <c r="BY61" s="47"/>
      <c r="BZ61" s="47"/>
      <c r="CA61" s="47"/>
      <c r="CB61" s="54">
        <f t="shared" si="12"/>
        <v>535.54240000000004</v>
      </c>
      <c r="CC61" s="47"/>
      <c r="CD61" s="57"/>
      <c r="CE61" s="47"/>
      <c r="CF61" s="47">
        <f t="shared" si="13"/>
        <v>535.54240000000004</v>
      </c>
    </row>
    <row r="62" spans="1:84" ht="14.25" customHeight="1">
      <c r="A62" s="47">
        <v>55</v>
      </c>
      <c r="B62" s="47" t="s">
        <v>129</v>
      </c>
      <c r="C62" s="48">
        <v>804006</v>
      </c>
      <c r="D62" s="49" t="s">
        <v>189</v>
      </c>
      <c r="E62" s="49" t="s">
        <v>150</v>
      </c>
      <c r="F62" s="50">
        <f t="shared" si="14"/>
        <v>21</v>
      </c>
      <c r="G62" s="50"/>
      <c r="H62" s="50"/>
      <c r="I62" s="50">
        <v>7</v>
      </c>
      <c r="J62" s="50">
        <v>14</v>
      </c>
      <c r="K62" s="50"/>
      <c r="L62" s="50"/>
      <c r="M62" s="50"/>
      <c r="N62" s="50">
        <v>4</v>
      </c>
      <c r="O62" s="50">
        <f t="shared" si="15"/>
        <v>25</v>
      </c>
      <c r="P62" s="51">
        <f t="shared" si="0"/>
        <v>233.68769999999998</v>
      </c>
      <c r="Q62" s="51">
        <f t="shared" si="1"/>
        <v>213.52769999999998</v>
      </c>
      <c r="R62" s="47">
        <f t="shared" si="16"/>
        <v>60378</v>
      </c>
      <c r="S62" s="58"/>
      <c r="T62" s="51">
        <v>60378</v>
      </c>
      <c r="U62" s="47">
        <f t="shared" si="17"/>
        <v>72.453599999999994</v>
      </c>
      <c r="V62" s="51">
        <f t="shared" si="2"/>
        <v>0</v>
      </c>
      <c r="W62" s="47">
        <f t="shared" si="18"/>
        <v>0</v>
      </c>
      <c r="X62" s="47"/>
      <c r="Y62" s="47"/>
      <c r="Z62" s="47"/>
      <c r="AA62" s="47"/>
      <c r="AB62" s="51">
        <f t="shared" si="19"/>
        <v>30.24</v>
      </c>
      <c r="AC62" s="47">
        <f t="shared" si="20"/>
        <v>0</v>
      </c>
      <c r="AD62" s="47"/>
      <c r="AE62" s="47"/>
      <c r="AF62" s="47">
        <f t="shared" si="21"/>
        <v>30.24</v>
      </c>
      <c r="AG62" s="47">
        <v>25200</v>
      </c>
      <c r="AH62" s="47"/>
      <c r="AI62" s="47">
        <f t="shared" si="22"/>
        <v>54.39</v>
      </c>
      <c r="AJ62" s="53">
        <f t="shared" si="23"/>
        <v>25.133400000000002</v>
      </c>
      <c r="AK62" s="53">
        <f t="shared" si="24"/>
        <v>251334.00000000003</v>
      </c>
      <c r="AL62" s="47"/>
      <c r="AM62" s="47">
        <f t="shared" si="3"/>
        <v>10.8117</v>
      </c>
      <c r="AN62" s="47">
        <f t="shared" si="4"/>
        <v>10.1775</v>
      </c>
      <c r="AO62" s="47">
        <f t="shared" si="25"/>
        <v>101775</v>
      </c>
      <c r="AP62" s="47">
        <f t="shared" si="5"/>
        <v>0.63419999999999999</v>
      </c>
      <c r="AQ62" s="47">
        <f t="shared" si="26"/>
        <v>6342</v>
      </c>
      <c r="AR62" s="47"/>
      <c r="AS62" s="47">
        <f t="shared" si="27"/>
        <v>1.649</v>
      </c>
      <c r="AT62" s="47">
        <f t="shared" si="6"/>
        <v>0.7611</v>
      </c>
      <c r="AU62" s="47">
        <f t="shared" si="28"/>
        <v>7611</v>
      </c>
      <c r="AV62" s="47">
        <f t="shared" si="7"/>
        <v>0.88790000000000002</v>
      </c>
      <c r="AW62" s="47">
        <f t="shared" si="29"/>
        <v>8879</v>
      </c>
      <c r="AX62" s="47">
        <f t="shared" si="8"/>
        <v>18.850000000000001</v>
      </c>
      <c r="AY62" s="47"/>
      <c r="AZ62" s="47"/>
      <c r="BA62" s="54">
        <v>1E-4</v>
      </c>
      <c r="BB62" s="55" t="s">
        <v>189</v>
      </c>
      <c r="BC62" s="51">
        <f t="shared" si="30"/>
        <v>20.16</v>
      </c>
      <c r="BD62" s="47">
        <f t="shared" si="33"/>
        <v>20.16</v>
      </c>
      <c r="BE62" s="47">
        <f t="shared" si="31"/>
        <v>0</v>
      </c>
      <c r="BF62" s="47"/>
      <c r="BG62" s="56"/>
      <c r="BH62" s="47"/>
      <c r="BI62" s="51">
        <f t="shared" si="10"/>
        <v>0</v>
      </c>
      <c r="BJ62" s="51">
        <f t="shared" si="11"/>
        <v>0</v>
      </c>
      <c r="BK62" s="47"/>
      <c r="BL62" s="47"/>
      <c r="BM62" s="47"/>
      <c r="BN62" s="47"/>
      <c r="BO62" s="47"/>
      <c r="BP62" s="47"/>
      <c r="BQ62" s="47"/>
      <c r="BR62" s="47"/>
      <c r="BS62" s="53"/>
      <c r="BT62" s="47"/>
      <c r="BU62" s="47"/>
      <c r="BV62" s="47"/>
      <c r="BW62" s="47"/>
      <c r="BX62" s="47"/>
      <c r="BY62" s="47"/>
      <c r="BZ62" s="47"/>
      <c r="CA62" s="47"/>
      <c r="CB62" s="54">
        <f t="shared" si="12"/>
        <v>233.68769999999998</v>
      </c>
      <c r="CC62" s="47"/>
      <c r="CD62" s="57"/>
      <c r="CE62" s="47">
        <v>175.5</v>
      </c>
      <c r="CF62" s="47">
        <f t="shared" si="13"/>
        <v>409.18769999999995</v>
      </c>
    </row>
    <row r="63" spans="1:84" ht="14.25" customHeight="1">
      <c r="A63" s="47">
        <v>56</v>
      </c>
      <c r="B63" s="47" t="s">
        <v>129</v>
      </c>
      <c r="C63" s="48">
        <v>804007</v>
      </c>
      <c r="D63" s="49" t="s">
        <v>190</v>
      </c>
      <c r="E63" s="49" t="s">
        <v>150</v>
      </c>
      <c r="F63" s="50">
        <f t="shared" si="14"/>
        <v>14</v>
      </c>
      <c r="G63" s="50"/>
      <c r="H63" s="50"/>
      <c r="I63" s="50">
        <v>14</v>
      </c>
      <c r="J63" s="50"/>
      <c r="K63" s="50"/>
      <c r="L63" s="50"/>
      <c r="M63" s="50"/>
      <c r="N63" s="50">
        <v>1</v>
      </c>
      <c r="O63" s="50">
        <f t="shared" si="15"/>
        <v>15</v>
      </c>
      <c r="P63" s="51">
        <f t="shared" si="0"/>
        <v>163.2884</v>
      </c>
      <c r="Q63" s="51">
        <f t="shared" si="1"/>
        <v>149.8484</v>
      </c>
      <c r="R63" s="47">
        <f t="shared" si="16"/>
        <v>44793</v>
      </c>
      <c r="S63" s="58">
        <v>0</v>
      </c>
      <c r="T63" s="51">
        <v>44793</v>
      </c>
      <c r="U63" s="47">
        <f t="shared" si="17"/>
        <v>53.751600000000003</v>
      </c>
      <c r="V63" s="51">
        <f t="shared" si="2"/>
        <v>0</v>
      </c>
      <c r="W63" s="47">
        <f t="shared" si="18"/>
        <v>0</v>
      </c>
      <c r="X63" s="47"/>
      <c r="Y63" s="47"/>
      <c r="Z63" s="47"/>
      <c r="AA63" s="47"/>
      <c r="AB63" s="51">
        <f t="shared" si="19"/>
        <v>20.16</v>
      </c>
      <c r="AC63" s="47">
        <f t="shared" si="20"/>
        <v>0</v>
      </c>
      <c r="AD63" s="47"/>
      <c r="AE63" s="47"/>
      <c r="AF63" s="47">
        <f t="shared" si="21"/>
        <v>20.16</v>
      </c>
      <c r="AG63" s="47">
        <v>16800</v>
      </c>
      <c r="AH63" s="47"/>
      <c r="AI63" s="47">
        <f t="shared" si="22"/>
        <v>36.26</v>
      </c>
      <c r="AJ63" s="53">
        <f t="shared" si="23"/>
        <v>17.627500000000001</v>
      </c>
      <c r="AK63" s="53">
        <f t="shared" si="24"/>
        <v>176275</v>
      </c>
      <c r="AL63" s="47"/>
      <c r="AM63" s="47">
        <f t="shared" si="3"/>
        <v>7.6585000000000001</v>
      </c>
      <c r="AN63" s="47">
        <f t="shared" si="4"/>
        <v>7.2084000000000001</v>
      </c>
      <c r="AO63" s="47">
        <f t="shared" si="25"/>
        <v>72084</v>
      </c>
      <c r="AP63" s="47">
        <f t="shared" si="5"/>
        <v>0.4501</v>
      </c>
      <c r="AQ63" s="47">
        <f t="shared" si="26"/>
        <v>4501</v>
      </c>
      <c r="AR63" s="47"/>
      <c r="AS63" s="47">
        <f t="shared" si="27"/>
        <v>1.1701999999999999</v>
      </c>
      <c r="AT63" s="47">
        <f t="shared" si="6"/>
        <v>0.54010000000000002</v>
      </c>
      <c r="AU63" s="47">
        <f t="shared" si="28"/>
        <v>5401</v>
      </c>
      <c r="AV63" s="47">
        <f t="shared" si="7"/>
        <v>0.63009999999999999</v>
      </c>
      <c r="AW63" s="47">
        <f t="shared" si="29"/>
        <v>6301</v>
      </c>
      <c r="AX63" s="47">
        <f t="shared" si="8"/>
        <v>13.220599999999999</v>
      </c>
      <c r="AY63" s="47"/>
      <c r="AZ63" s="47"/>
      <c r="BA63" s="54">
        <v>1E-4</v>
      </c>
      <c r="BB63" s="55" t="s">
        <v>190</v>
      </c>
      <c r="BC63" s="51">
        <f t="shared" si="30"/>
        <v>13.44</v>
      </c>
      <c r="BD63" s="47">
        <f t="shared" si="33"/>
        <v>13.44</v>
      </c>
      <c r="BE63" s="47">
        <f t="shared" si="31"/>
        <v>0</v>
      </c>
      <c r="BF63" s="47"/>
      <c r="BG63" s="56"/>
      <c r="BH63" s="47"/>
      <c r="BI63" s="51">
        <f t="shared" si="10"/>
        <v>0</v>
      </c>
      <c r="BJ63" s="51">
        <f t="shared" si="11"/>
        <v>0</v>
      </c>
      <c r="BK63" s="47"/>
      <c r="BL63" s="47"/>
      <c r="BM63" s="47"/>
      <c r="BN63" s="47"/>
      <c r="BO63" s="47"/>
      <c r="BP63" s="47"/>
      <c r="BQ63" s="47"/>
      <c r="BR63" s="47"/>
      <c r="BS63" s="53"/>
      <c r="BT63" s="47"/>
      <c r="BU63" s="47"/>
      <c r="BV63" s="47"/>
      <c r="BW63" s="47"/>
      <c r="BX63" s="47"/>
      <c r="BY63" s="47"/>
      <c r="BZ63" s="47"/>
      <c r="CA63" s="47"/>
      <c r="CB63" s="54">
        <f t="shared" si="12"/>
        <v>163.2884</v>
      </c>
      <c r="CC63" s="47"/>
      <c r="CD63" s="57"/>
      <c r="CE63" s="47"/>
      <c r="CF63" s="47">
        <f t="shared" si="13"/>
        <v>163.2884</v>
      </c>
    </row>
    <row r="64" spans="1:84" ht="14.25" customHeight="1">
      <c r="A64" s="47">
        <v>57</v>
      </c>
      <c r="B64" s="47" t="s">
        <v>129</v>
      </c>
      <c r="C64" s="48">
        <v>805001</v>
      </c>
      <c r="D64" s="49" t="s">
        <v>191</v>
      </c>
      <c r="E64" s="49" t="s">
        <v>141</v>
      </c>
      <c r="F64" s="50">
        <f t="shared" si="14"/>
        <v>14</v>
      </c>
      <c r="G64" s="50">
        <v>11</v>
      </c>
      <c r="H64" s="50">
        <v>3</v>
      </c>
      <c r="I64" s="50"/>
      <c r="J64" s="50"/>
      <c r="K64" s="50"/>
      <c r="L64" s="50"/>
      <c r="M64" s="50">
        <v>1</v>
      </c>
      <c r="N64" s="50">
        <v>30</v>
      </c>
      <c r="O64" s="50">
        <f t="shared" si="15"/>
        <v>45</v>
      </c>
      <c r="P64" s="51">
        <f t="shared" si="0"/>
        <v>298.80379999999997</v>
      </c>
      <c r="Q64" s="51">
        <f t="shared" si="1"/>
        <v>152.75179999999997</v>
      </c>
      <c r="R64" s="47">
        <f t="shared" si="16"/>
        <v>45064</v>
      </c>
      <c r="S64" s="58">
        <v>45064</v>
      </c>
      <c r="T64" s="51"/>
      <c r="U64" s="47">
        <f t="shared" si="17"/>
        <v>54.076799999999999</v>
      </c>
      <c r="V64" s="51">
        <f t="shared" si="2"/>
        <v>31.5</v>
      </c>
      <c r="W64" s="47">
        <f t="shared" si="18"/>
        <v>31.5</v>
      </c>
      <c r="X64" s="47"/>
      <c r="Y64" s="47"/>
      <c r="Z64" s="47"/>
      <c r="AA64" s="47"/>
      <c r="AB64" s="51">
        <f t="shared" si="19"/>
        <v>27.500799999999998</v>
      </c>
      <c r="AC64" s="47">
        <f t="shared" si="20"/>
        <v>4.5064000000000002</v>
      </c>
      <c r="AD64" s="47"/>
      <c r="AE64" s="47"/>
      <c r="AF64" s="47">
        <f t="shared" si="21"/>
        <v>22.994399999999999</v>
      </c>
      <c r="AG64" s="47">
        <v>19162</v>
      </c>
      <c r="AH64" s="47"/>
      <c r="AI64" s="47">
        <f t="shared" si="22"/>
        <v>0</v>
      </c>
      <c r="AJ64" s="53">
        <f t="shared" si="23"/>
        <v>18.092400000000001</v>
      </c>
      <c r="AK64" s="53">
        <f t="shared" si="24"/>
        <v>180924</v>
      </c>
      <c r="AL64" s="47"/>
      <c r="AM64" s="47">
        <f t="shared" si="3"/>
        <v>7.4989999999999997</v>
      </c>
      <c r="AN64" s="47">
        <f t="shared" si="4"/>
        <v>7.0711000000000004</v>
      </c>
      <c r="AO64" s="47">
        <f t="shared" si="25"/>
        <v>70711</v>
      </c>
      <c r="AP64" s="47">
        <f t="shared" si="5"/>
        <v>0.4279</v>
      </c>
      <c r="AQ64" s="47">
        <f t="shared" si="26"/>
        <v>4279</v>
      </c>
      <c r="AR64" s="47"/>
      <c r="AS64" s="47">
        <f t="shared" si="27"/>
        <v>0.51349999999999996</v>
      </c>
      <c r="AT64" s="47">
        <f t="shared" si="6"/>
        <v>0.51349999999999996</v>
      </c>
      <c r="AU64" s="47">
        <f t="shared" si="28"/>
        <v>5135</v>
      </c>
      <c r="AV64" s="47">
        <f t="shared" si="7"/>
        <v>0</v>
      </c>
      <c r="AW64" s="47">
        <f t="shared" si="29"/>
        <v>0</v>
      </c>
      <c r="AX64" s="47">
        <f t="shared" si="8"/>
        <v>13.5693</v>
      </c>
      <c r="AY64" s="47"/>
      <c r="AZ64" s="47"/>
      <c r="BA64" s="54">
        <v>1E-4</v>
      </c>
      <c r="BB64" s="55" t="s">
        <v>191</v>
      </c>
      <c r="BC64" s="51">
        <f t="shared" si="30"/>
        <v>140.4</v>
      </c>
      <c r="BD64" s="47">
        <f t="shared" si="33"/>
        <v>16.8</v>
      </c>
      <c r="BE64" s="47">
        <f t="shared" si="31"/>
        <v>9.6</v>
      </c>
      <c r="BF64" s="47">
        <v>8000</v>
      </c>
      <c r="BG64" s="56">
        <v>114</v>
      </c>
      <c r="BH64" s="47"/>
      <c r="BI64" s="51">
        <f t="shared" si="10"/>
        <v>5.652000000000001</v>
      </c>
      <c r="BJ64" s="51">
        <f t="shared" si="11"/>
        <v>3.24</v>
      </c>
      <c r="BK64" s="47"/>
      <c r="BL64" s="47">
        <v>3.24</v>
      </c>
      <c r="BM64" s="47"/>
      <c r="BN64" s="47"/>
      <c r="BO64" s="47"/>
      <c r="BP64" s="47">
        <f>3.24-0.828</f>
        <v>2.4120000000000004</v>
      </c>
      <c r="BQ64" s="47"/>
      <c r="BR64" s="47"/>
      <c r="BS64" s="53"/>
      <c r="BT64" s="47"/>
      <c r="BU64" s="47"/>
      <c r="BV64" s="47"/>
      <c r="BW64" s="47"/>
      <c r="BX64" s="47">
        <v>20</v>
      </c>
      <c r="BY64" s="47"/>
      <c r="BZ64" s="47"/>
      <c r="CA64" s="47"/>
      <c r="CB64" s="54">
        <f t="shared" si="12"/>
        <v>318.80379999999997</v>
      </c>
      <c r="CC64" s="47"/>
      <c r="CD64" s="57"/>
      <c r="CE64" s="47"/>
      <c r="CF64" s="47">
        <f t="shared" si="13"/>
        <v>318.80379999999997</v>
      </c>
    </row>
    <row r="65" spans="1:84" ht="14.25" customHeight="1">
      <c r="A65" s="47">
        <v>58</v>
      </c>
      <c r="B65" s="47" t="s">
        <v>129</v>
      </c>
      <c r="C65" s="48">
        <v>301001</v>
      </c>
      <c r="D65" s="60" t="s">
        <v>192</v>
      </c>
      <c r="E65" s="60" t="s">
        <v>131</v>
      </c>
      <c r="F65" s="50">
        <f t="shared" si="14"/>
        <v>156</v>
      </c>
      <c r="G65" s="50">
        <v>45</v>
      </c>
      <c r="H65" s="50">
        <v>17</v>
      </c>
      <c r="I65" s="50">
        <f>93+1</f>
        <v>94</v>
      </c>
      <c r="J65" s="50"/>
      <c r="K65" s="50"/>
      <c r="L65" s="50"/>
      <c r="M65" s="50">
        <v>1</v>
      </c>
      <c r="N65" s="50">
        <v>75</v>
      </c>
      <c r="O65" s="50">
        <f t="shared" si="15"/>
        <v>232</v>
      </c>
      <c r="P65" s="51">
        <f t="shared" si="0"/>
        <v>2082.355</v>
      </c>
      <c r="Q65" s="51">
        <f t="shared" si="1"/>
        <v>1821.2450000000003</v>
      </c>
      <c r="R65" s="47">
        <f t="shared" si="16"/>
        <v>485879</v>
      </c>
      <c r="S65" s="61">
        <v>200257</v>
      </c>
      <c r="T65" s="62">
        <v>285622</v>
      </c>
      <c r="U65" s="47">
        <f t="shared" si="17"/>
        <v>583.0548</v>
      </c>
      <c r="V65" s="51">
        <f t="shared" si="2"/>
        <v>273.06</v>
      </c>
      <c r="W65" s="47">
        <f t="shared" si="18"/>
        <v>139.5</v>
      </c>
      <c r="X65" s="63">
        <v>133.56</v>
      </c>
      <c r="Y65" s="47"/>
      <c r="Z65" s="47"/>
      <c r="AA65" s="47"/>
      <c r="AB65" s="51">
        <f t="shared" si="19"/>
        <v>288.25330000000002</v>
      </c>
      <c r="AC65" s="47">
        <f t="shared" si="20"/>
        <v>20.025700000000001</v>
      </c>
      <c r="AD65" s="63">
        <v>36.9696</v>
      </c>
      <c r="AE65" s="47"/>
      <c r="AF65" s="47">
        <f t="shared" si="21"/>
        <v>231.25800000000001</v>
      </c>
      <c r="AG65" s="64">
        <v>192715</v>
      </c>
      <c r="AH65" s="47"/>
      <c r="AI65" s="47">
        <f t="shared" si="22"/>
        <v>243.46</v>
      </c>
      <c r="AJ65" s="53">
        <f t="shared" si="23"/>
        <v>194.76779999999999</v>
      </c>
      <c r="AK65" s="53">
        <f t="shared" si="24"/>
        <v>1947678</v>
      </c>
      <c r="AL65" s="47"/>
      <c r="AM65" s="47">
        <f t="shared" si="3"/>
        <v>82.6738</v>
      </c>
      <c r="AN65" s="47">
        <f t="shared" si="4"/>
        <v>77.843699999999998</v>
      </c>
      <c r="AO65" s="47">
        <f t="shared" si="25"/>
        <v>778437</v>
      </c>
      <c r="AP65" s="47">
        <f t="shared" si="5"/>
        <v>4.8300999999999998</v>
      </c>
      <c r="AQ65" s="47">
        <f t="shared" si="26"/>
        <v>48301</v>
      </c>
      <c r="AR65" s="47"/>
      <c r="AS65" s="47">
        <f t="shared" si="27"/>
        <v>9.8994999999999997</v>
      </c>
      <c r="AT65" s="47">
        <f t="shared" si="6"/>
        <v>5.7961</v>
      </c>
      <c r="AU65" s="47">
        <f t="shared" si="28"/>
        <v>57961</v>
      </c>
      <c r="AV65" s="47">
        <f t="shared" si="7"/>
        <v>4.1033999999999997</v>
      </c>
      <c r="AW65" s="47">
        <f t="shared" si="29"/>
        <v>41034</v>
      </c>
      <c r="AX65" s="47">
        <f t="shared" si="8"/>
        <v>146.07579999999999</v>
      </c>
      <c r="AY65" s="47"/>
      <c r="AZ65" s="47"/>
      <c r="BA65" s="54">
        <v>1E-4</v>
      </c>
      <c r="BB65" s="65" t="s">
        <v>192</v>
      </c>
      <c r="BC65" s="51">
        <f t="shared" si="30"/>
        <v>243.87199999999999</v>
      </c>
      <c r="BD65" s="47">
        <f t="shared" si="33"/>
        <v>164.64</v>
      </c>
      <c r="BE65" s="47">
        <f t="shared" si="31"/>
        <v>44.231999999999999</v>
      </c>
      <c r="BF65" s="47">
        <v>36860</v>
      </c>
      <c r="BG65" s="56"/>
      <c r="BH65" s="47">
        <v>35</v>
      </c>
      <c r="BI65" s="51">
        <f t="shared" si="10"/>
        <v>17.238</v>
      </c>
      <c r="BJ65" s="51">
        <f t="shared" si="11"/>
        <v>3.1259999999999999</v>
      </c>
      <c r="BK65" s="47"/>
      <c r="BL65" s="47">
        <v>3.1259999999999999</v>
      </c>
      <c r="BM65" s="47"/>
      <c r="BN65" s="47"/>
      <c r="BO65" s="47"/>
      <c r="BP65" s="63">
        <v>14.112</v>
      </c>
      <c r="BQ65" s="47"/>
      <c r="BR65" s="47"/>
      <c r="BS65" s="53"/>
      <c r="BT65" s="47"/>
      <c r="BU65" s="47"/>
      <c r="BV65" s="47"/>
      <c r="BW65" s="47"/>
      <c r="BX65" s="47"/>
      <c r="BY65" s="47"/>
      <c r="BZ65" s="47"/>
      <c r="CA65" s="47"/>
      <c r="CB65" s="54">
        <f t="shared" si="12"/>
        <v>2082.355</v>
      </c>
      <c r="CC65" s="47"/>
      <c r="CD65" s="57"/>
      <c r="CE65" s="47"/>
      <c r="CF65" s="47">
        <f t="shared" si="13"/>
        <v>2082.355</v>
      </c>
    </row>
    <row r="66" spans="1:84" ht="14.25" customHeight="1">
      <c r="A66" s="47">
        <v>59</v>
      </c>
      <c r="B66" s="47" t="s">
        <v>129</v>
      </c>
      <c r="C66" s="48">
        <v>302001</v>
      </c>
      <c r="D66" s="60" t="s">
        <v>193</v>
      </c>
      <c r="E66" s="60" t="s">
        <v>131</v>
      </c>
      <c r="F66" s="50">
        <f t="shared" si="14"/>
        <v>121</v>
      </c>
      <c r="G66" s="50">
        <v>41</v>
      </c>
      <c r="H66" s="50">
        <v>10</v>
      </c>
      <c r="I66" s="50">
        <v>54</v>
      </c>
      <c r="J66" s="50">
        <v>16</v>
      </c>
      <c r="K66" s="50"/>
      <c r="L66" s="50"/>
      <c r="M66" s="50"/>
      <c r="N66" s="50">
        <v>39</v>
      </c>
      <c r="O66" s="50">
        <f t="shared" si="15"/>
        <v>160</v>
      </c>
      <c r="P66" s="51">
        <f t="shared" si="0"/>
        <v>1596.2540000000001</v>
      </c>
      <c r="Q66" s="51">
        <f t="shared" si="1"/>
        <v>1393.1780000000001</v>
      </c>
      <c r="R66" s="47">
        <f t="shared" si="16"/>
        <v>373023</v>
      </c>
      <c r="S66" s="61">
        <v>153314</v>
      </c>
      <c r="T66" s="62">
        <v>219709</v>
      </c>
      <c r="U66" s="47">
        <f t="shared" si="17"/>
        <v>447.62759999999997</v>
      </c>
      <c r="V66" s="51">
        <f t="shared" si="2"/>
        <v>212.86199999999999</v>
      </c>
      <c r="W66" s="47">
        <f t="shared" si="18"/>
        <v>114.75</v>
      </c>
      <c r="X66" s="63">
        <v>98.111999999999995</v>
      </c>
      <c r="Y66" s="47"/>
      <c r="Z66" s="47"/>
      <c r="AA66" s="47"/>
      <c r="AB66" s="51">
        <f t="shared" si="19"/>
        <v>218.78659999999999</v>
      </c>
      <c r="AC66" s="47">
        <f t="shared" si="20"/>
        <v>15.3314</v>
      </c>
      <c r="AD66" s="63">
        <v>28.463999999999999</v>
      </c>
      <c r="AE66" s="47"/>
      <c r="AF66" s="47">
        <f t="shared" si="21"/>
        <v>174.99119999999999</v>
      </c>
      <c r="AG66" s="64">
        <v>145826</v>
      </c>
      <c r="AH66" s="47"/>
      <c r="AI66" s="47">
        <f t="shared" si="22"/>
        <v>181.3</v>
      </c>
      <c r="AJ66" s="53">
        <f t="shared" si="23"/>
        <v>149.44</v>
      </c>
      <c r="AK66" s="53">
        <f t="shared" si="24"/>
        <v>1494400</v>
      </c>
      <c r="AL66" s="47"/>
      <c r="AM66" s="47">
        <f t="shared" si="3"/>
        <v>63.505099999999999</v>
      </c>
      <c r="AN66" s="47">
        <f t="shared" si="4"/>
        <v>59.786700000000003</v>
      </c>
      <c r="AO66" s="47">
        <f t="shared" si="25"/>
        <v>597867</v>
      </c>
      <c r="AP66" s="47">
        <f t="shared" si="5"/>
        <v>3.7183999999999999</v>
      </c>
      <c r="AQ66" s="47">
        <f t="shared" si="26"/>
        <v>37184</v>
      </c>
      <c r="AR66" s="47"/>
      <c r="AS66" s="47">
        <f t="shared" si="27"/>
        <v>7.5766999999999998</v>
      </c>
      <c r="AT66" s="47">
        <f t="shared" si="6"/>
        <v>4.4621000000000004</v>
      </c>
      <c r="AU66" s="47">
        <f t="shared" si="28"/>
        <v>44621.000000000007</v>
      </c>
      <c r="AV66" s="47">
        <f t="shared" si="7"/>
        <v>3.1147</v>
      </c>
      <c r="AW66" s="47">
        <f t="shared" si="29"/>
        <v>31147</v>
      </c>
      <c r="AX66" s="47">
        <f t="shared" si="8"/>
        <v>112.08</v>
      </c>
      <c r="AY66" s="47"/>
      <c r="AZ66" s="47"/>
      <c r="BA66" s="54">
        <v>1E-4</v>
      </c>
      <c r="BB66" s="65" t="s">
        <v>193</v>
      </c>
      <c r="BC66" s="51">
        <f t="shared" si="30"/>
        <v>185.07600000000002</v>
      </c>
      <c r="BD66" s="47">
        <f t="shared" si="33"/>
        <v>128.4</v>
      </c>
      <c r="BE66" s="47">
        <f t="shared" si="31"/>
        <v>35.676000000000002</v>
      </c>
      <c r="BF66" s="47">
        <v>29730</v>
      </c>
      <c r="BG66" s="56"/>
      <c r="BH66" s="47">
        <v>21</v>
      </c>
      <c r="BI66" s="51">
        <f t="shared" si="10"/>
        <v>18</v>
      </c>
      <c r="BJ66" s="51">
        <f t="shared" si="11"/>
        <v>0</v>
      </c>
      <c r="BK66" s="47"/>
      <c r="BL66" s="47"/>
      <c r="BM66" s="47"/>
      <c r="BN66" s="47"/>
      <c r="BO66" s="47"/>
      <c r="BP66" s="63">
        <v>18</v>
      </c>
      <c r="BQ66" s="47"/>
      <c r="BR66" s="47"/>
      <c r="BS66" s="53"/>
      <c r="BT66" s="47"/>
      <c r="BU66" s="47"/>
      <c r="BV66" s="47"/>
      <c r="BW66" s="47"/>
      <c r="BX66" s="47"/>
      <c r="BY66" s="47"/>
      <c r="BZ66" s="47"/>
      <c r="CA66" s="47"/>
      <c r="CB66" s="54">
        <f t="shared" si="12"/>
        <v>1596.2540000000001</v>
      </c>
      <c r="CC66" s="47"/>
      <c r="CD66" s="57"/>
      <c r="CE66" s="47"/>
      <c r="CF66" s="47">
        <f t="shared" si="13"/>
        <v>1596.2540000000001</v>
      </c>
    </row>
    <row r="67" spans="1:84" ht="14.25" customHeight="1">
      <c r="A67" s="47">
        <v>60</v>
      </c>
      <c r="B67" s="47" t="s">
        <v>129</v>
      </c>
      <c r="C67" s="48">
        <v>303001</v>
      </c>
      <c r="D67" s="60" t="s">
        <v>194</v>
      </c>
      <c r="E67" s="60" t="s">
        <v>131</v>
      </c>
      <c r="F67" s="50">
        <f t="shared" si="14"/>
        <v>122</v>
      </c>
      <c r="G67" s="50">
        <v>46</v>
      </c>
      <c r="H67" s="50">
        <v>6</v>
      </c>
      <c r="I67" s="50">
        <f>65+5</f>
        <v>70</v>
      </c>
      <c r="J67" s="50"/>
      <c r="K67" s="50"/>
      <c r="L67" s="50"/>
      <c r="M67" s="50"/>
      <c r="N67" s="50">
        <f>36+1</f>
        <v>37</v>
      </c>
      <c r="O67" s="50">
        <f t="shared" si="15"/>
        <v>159</v>
      </c>
      <c r="P67" s="51">
        <f t="shared" si="0"/>
        <v>1587.1528200000002</v>
      </c>
      <c r="Q67" s="51">
        <f t="shared" si="1"/>
        <v>1390.3348200000003</v>
      </c>
      <c r="R67" s="47">
        <f t="shared" si="16"/>
        <v>361914.6</v>
      </c>
      <c r="S67" s="61">
        <v>150272</v>
      </c>
      <c r="T67" s="62">
        <v>211642.6</v>
      </c>
      <c r="U67" s="47">
        <f t="shared" si="17"/>
        <v>434.29752000000002</v>
      </c>
      <c r="V67" s="51">
        <f t="shared" si="2"/>
        <v>213.19200000000001</v>
      </c>
      <c r="W67" s="47">
        <f t="shared" si="18"/>
        <v>117</v>
      </c>
      <c r="X67" s="66">
        <v>96.191999999999993</v>
      </c>
      <c r="Y67" s="47"/>
      <c r="Z67" s="47"/>
      <c r="AA67" s="47"/>
      <c r="AB67" s="51">
        <f t="shared" si="19"/>
        <v>230.26760000000002</v>
      </c>
      <c r="AC67" s="47">
        <f t="shared" si="20"/>
        <v>15.027200000000001</v>
      </c>
      <c r="AD67" s="66">
        <v>29.697600000000001</v>
      </c>
      <c r="AE67" s="47"/>
      <c r="AF67" s="47">
        <f t="shared" si="21"/>
        <v>185.5428</v>
      </c>
      <c r="AG67" s="64">
        <v>154619</v>
      </c>
      <c r="AH67" s="47"/>
      <c r="AI67" s="47">
        <f t="shared" si="22"/>
        <v>181.3</v>
      </c>
      <c r="AJ67" s="53">
        <f t="shared" si="23"/>
        <v>149.30680000000001</v>
      </c>
      <c r="AK67" s="53">
        <f t="shared" si="24"/>
        <v>1493068</v>
      </c>
      <c r="AL67" s="47"/>
      <c r="AM67" s="47">
        <f t="shared" si="3"/>
        <v>62.548299999999998</v>
      </c>
      <c r="AN67" s="47">
        <f t="shared" si="4"/>
        <v>58.885300000000001</v>
      </c>
      <c r="AO67" s="47">
        <f t="shared" si="25"/>
        <v>588853</v>
      </c>
      <c r="AP67" s="47">
        <f t="shared" si="5"/>
        <v>3.6629999999999998</v>
      </c>
      <c r="AQ67" s="47">
        <f t="shared" si="26"/>
        <v>36630</v>
      </c>
      <c r="AR67" s="47"/>
      <c r="AS67" s="47">
        <f t="shared" si="27"/>
        <v>7.4424999999999999</v>
      </c>
      <c r="AT67" s="47">
        <f t="shared" si="6"/>
        <v>4.3956</v>
      </c>
      <c r="AU67" s="47">
        <f t="shared" si="28"/>
        <v>43956</v>
      </c>
      <c r="AV67" s="47">
        <f t="shared" si="7"/>
        <v>3.0468999999999999</v>
      </c>
      <c r="AW67" s="47">
        <f t="shared" si="29"/>
        <v>30469</v>
      </c>
      <c r="AX67" s="47">
        <f t="shared" si="8"/>
        <v>111.98009999999999</v>
      </c>
      <c r="AY67" s="47"/>
      <c r="AZ67" s="47"/>
      <c r="BA67" s="54">
        <v>1E-4</v>
      </c>
      <c r="BB67" s="65" t="s">
        <v>194</v>
      </c>
      <c r="BC67" s="51">
        <f t="shared" si="30"/>
        <v>186.46799999999999</v>
      </c>
      <c r="BD67" s="47">
        <f t="shared" si="33"/>
        <v>129.6</v>
      </c>
      <c r="BE67" s="47">
        <f t="shared" si="31"/>
        <v>35.868000000000002</v>
      </c>
      <c r="BF67" s="47">
        <v>29890</v>
      </c>
      <c r="BG67" s="56"/>
      <c r="BH67" s="47">
        <v>21</v>
      </c>
      <c r="BI67" s="51">
        <f t="shared" si="10"/>
        <v>10.35</v>
      </c>
      <c r="BJ67" s="51">
        <f t="shared" si="11"/>
        <v>0</v>
      </c>
      <c r="BK67" s="47"/>
      <c r="BL67" s="47"/>
      <c r="BM67" s="47"/>
      <c r="BN67" s="47"/>
      <c r="BO67" s="47"/>
      <c r="BP67" s="66">
        <v>10.35</v>
      </c>
      <c r="BQ67" s="47"/>
      <c r="BR67" s="47"/>
      <c r="BS67" s="53"/>
      <c r="BT67" s="47"/>
      <c r="BU67" s="47"/>
      <c r="BV67" s="47"/>
      <c r="BW67" s="47"/>
      <c r="BX67" s="47"/>
      <c r="BY67" s="47"/>
      <c r="BZ67" s="47"/>
      <c r="CA67" s="47"/>
      <c r="CB67" s="54">
        <f t="shared" si="12"/>
        <v>1587.1528200000002</v>
      </c>
      <c r="CC67" s="47"/>
      <c r="CD67" s="57"/>
      <c r="CE67" s="47"/>
      <c r="CF67" s="47">
        <f t="shared" si="13"/>
        <v>1587.1528200000002</v>
      </c>
    </row>
    <row r="68" spans="1:84" ht="14.25" customHeight="1">
      <c r="A68" s="47">
        <v>61</v>
      </c>
      <c r="B68" s="47" t="s">
        <v>129</v>
      </c>
      <c r="C68" s="48">
        <v>304001</v>
      </c>
      <c r="D68" s="60" t="s">
        <v>195</v>
      </c>
      <c r="E68" s="60" t="s">
        <v>131</v>
      </c>
      <c r="F68" s="50">
        <f t="shared" si="14"/>
        <v>108</v>
      </c>
      <c r="G68" s="50">
        <v>44</v>
      </c>
      <c r="H68" s="50"/>
      <c r="I68" s="50">
        <v>64</v>
      </c>
      <c r="J68" s="50"/>
      <c r="K68" s="50"/>
      <c r="L68" s="50"/>
      <c r="M68" s="50"/>
      <c r="N68" s="50">
        <f>52+4+1</f>
        <v>57</v>
      </c>
      <c r="O68" s="50">
        <f t="shared" si="15"/>
        <v>165</v>
      </c>
      <c r="P68" s="51">
        <f t="shared" si="0"/>
        <v>1386.0773999999999</v>
      </c>
      <c r="Q68" s="51">
        <f t="shared" si="1"/>
        <v>1197.7282</v>
      </c>
      <c r="R68" s="47">
        <f t="shared" si="16"/>
        <v>317233</v>
      </c>
      <c r="S68" s="61">
        <v>122228</v>
      </c>
      <c r="T68" s="62">
        <v>195005</v>
      </c>
      <c r="U68" s="47">
        <f t="shared" si="17"/>
        <v>380.67959999999999</v>
      </c>
      <c r="V68" s="51">
        <f t="shared" si="2"/>
        <v>183.91200000000001</v>
      </c>
      <c r="W68" s="47">
        <f t="shared" si="18"/>
        <v>99</v>
      </c>
      <c r="X68" s="66">
        <v>84.912000000000006</v>
      </c>
      <c r="Y68" s="47"/>
      <c r="Z68" s="47"/>
      <c r="AA68" s="47"/>
      <c r="AB68" s="51">
        <f t="shared" si="19"/>
        <v>181.35079999999999</v>
      </c>
      <c r="AC68" s="47">
        <f t="shared" si="20"/>
        <v>12.222799999999999</v>
      </c>
      <c r="AD68" s="66">
        <v>26.558399999999999</v>
      </c>
      <c r="AE68" s="47"/>
      <c r="AF68" s="47">
        <f t="shared" si="21"/>
        <v>142.56960000000001</v>
      </c>
      <c r="AG68" s="64">
        <v>118808</v>
      </c>
      <c r="AH68" s="47"/>
      <c r="AI68" s="47">
        <f t="shared" si="22"/>
        <v>165.76</v>
      </c>
      <c r="AJ68" s="53">
        <f t="shared" si="23"/>
        <v>128.03710000000001</v>
      </c>
      <c r="AK68" s="53">
        <f t="shared" si="24"/>
        <v>1280371</v>
      </c>
      <c r="AL68" s="47"/>
      <c r="AM68" s="47">
        <f t="shared" si="3"/>
        <v>55.289900000000003</v>
      </c>
      <c r="AN68" s="47">
        <f t="shared" si="4"/>
        <v>52.0627</v>
      </c>
      <c r="AO68" s="47">
        <f t="shared" si="25"/>
        <v>520627</v>
      </c>
      <c r="AP68" s="47">
        <f t="shared" si="5"/>
        <v>3.2271999999999998</v>
      </c>
      <c r="AQ68" s="47">
        <f t="shared" si="26"/>
        <v>32272</v>
      </c>
      <c r="AR68" s="47"/>
      <c r="AS68" s="47">
        <f t="shared" si="27"/>
        <v>6.6710000000000003</v>
      </c>
      <c r="AT68" s="47">
        <f t="shared" si="6"/>
        <v>3.8725999999999998</v>
      </c>
      <c r="AU68" s="47">
        <f t="shared" si="28"/>
        <v>38726</v>
      </c>
      <c r="AV68" s="47">
        <f t="shared" si="7"/>
        <v>2.7984</v>
      </c>
      <c r="AW68" s="47">
        <f t="shared" si="29"/>
        <v>27984</v>
      </c>
      <c r="AX68" s="47">
        <f t="shared" si="8"/>
        <v>96.027799999999999</v>
      </c>
      <c r="AY68" s="47"/>
      <c r="AZ68" s="47"/>
      <c r="BA68" s="54">
        <v>1E-4</v>
      </c>
      <c r="BB68" s="65" t="s">
        <v>195</v>
      </c>
      <c r="BC68" s="51">
        <f t="shared" si="30"/>
        <v>179.12</v>
      </c>
      <c r="BD68" s="47">
        <f t="shared" si="33"/>
        <v>114.24</v>
      </c>
      <c r="BE68" s="47">
        <f t="shared" si="31"/>
        <v>29.88</v>
      </c>
      <c r="BF68" s="47">
        <v>24900</v>
      </c>
      <c r="BG68" s="56"/>
      <c r="BH68" s="47">
        <v>35</v>
      </c>
      <c r="BI68" s="51">
        <f t="shared" si="10"/>
        <v>9.2292000000000005</v>
      </c>
      <c r="BJ68" s="51">
        <f t="shared" si="11"/>
        <v>0</v>
      </c>
      <c r="BK68" s="47"/>
      <c r="BL68" s="47"/>
      <c r="BM68" s="47"/>
      <c r="BN68" s="47"/>
      <c r="BO68" s="47"/>
      <c r="BP68" s="66">
        <v>9.2292000000000005</v>
      </c>
      <c r="BQ68" s="47"/>
      <c r="BR68" s="47"/>
      <c r="BS68" s="53"/>
      <c r="BT68" s="47"/>
      <c r="BU68" s="47"/>
      <c r="BV68" s="47"/>
      <c r="BW68" s="47"/>
      <c r="BX68" s="47"/>
      <c r="BY68" s="47"/>
      <c r="BZ68" s="47"/>
      <c r="CA68" s="47"/>
      <c r="CB68" s="54">
        <f t="shared" si="12"/>
        <v>1386.0773999999999</v>
      </c>
      <c r="CC68" s="47"/>
      <c r="CD68" s="57"/>
      <c r="CE68" s="47"/>
      <c r="CF68" s="47">
        <f t="shared" si="13"/>
        <v>1386.0773999999999</v>
      </c>
    </row>
    <row r="69" spans="1:84" ht="14.25" customHeight="1">
      <c r="A69" s="47">
        <v>62</v>
      </c>
      <c r="B69" s="47" t="s">
        <v>129</v>
      </c>
      <c r="C69" s="48">
        <v>305001</v>
      </c>
      <c r="D69" s="60" t="s">
        <v>196</v>
      </c>
      <c r="E69" s="60" t="s">
        <v>131</v>
      </c>
      <c r="F69" s="50">
        <f t="shared" si="14"/>
        <v>81</v>
      </c>
      <c r="G69" s="50">
        <v>29</v>
      </c>
      <c r="H69" s="50">
        <v>8</v>
      </c>
      <c r="I69" s="50">
        <v>44</v>
      </c>
      <c r="J69" s="50"/>
      <c r="K69" s="50"/>
      <c r="L69" s="50"/>
      <c r="M69" s="50"/>
      <c r="N69" s="50">
        <f>17+1</f>
        <v>18</v>
      </c>
      <c r="O69" s="50">
        <f t="shared" si="15"/>
        <v>99</v>
      </c>
      <c r="P69" s="51">
        <f t="shared" si="0"/>
        <v>1051.6222</v>
      </c>
      <c r="Q69" s="51">
        <f t="shared" si="1"/>
        <v>916.35220000000015</v>
      </c>
      <c r="R69" s="47">
        <f t="shared" si="16"/>
        <v>238682</v>
      </c>
      <c r="S69" s="61">
        <v>106801</v>
      </c>
      <c r="T69" s="62">
        <v>131881</v>
      </c>
      <c r="U69" s="47">
        <f t="shared" si="17"/>
        <v>286.41840000000002</v>
      </c>
      <c r="V69" s="51">
        <f t="shared" si="2"/>
        <v>150.32999999999998</v>
      </c>
      <c r="W69" s="47">
        <f t="shared" si="18"/>
        <v>83.25</v>
      </c>
      <c r="X69" s="66">
        <v>67.08</v>
      </c>
      <c r="Y69" s="67"/>
      <c r="Z69" s="47"/>
      <c r="AA69" s="47"/>
      <c r="AB69" s="51">
        <f t="shared" si="19"/>
        <v>148.1173</v>
      </c>
      <c r="AC69" s="47">
        <f t="shared" si="20"/>
        <v>10.680099999999999</v>
      </c>
      <c r="AD69" s="66">
        <v>19.332000000000001</v>
      </c>
      <c r="AE69" s="47"/>
      <c r="AF69" s="47">
        <f t="shared" si="21"/>
        <v>118.1052</v>
      </c>
      <c r="AG69" s="64">
        <v>98421</v>
      </c>
      <c r="AH69" s="47"/>
      <c r="AI69" s="47">
        <f t="shared" si="22"/>
        <v>113.96</v>
      </c>
      <c r="AJ69" s="53">
        <f t="shared" si="23"/>
        <v>97.986199999999997</v>
      </c>
      <c r="AK69" s="53">
        <f t="shared" si="24"/>
        <v>979862</v>
      </c>
      <c r="AL69" s="47"/>
      <c r="AM69" s="47">
        <f t="shared" si="3"/>
        <v>41.243400000000001</v>
      </c>
      <c r="AN69" s="47">
        <f t="shared" si="4"/>
        <v>38.825299999999999</v>
      </c>
      <c r="AO69" s="47">
        <f t="shared" si="25"/>
        <v>388253</v>
      </c>
      <c r="AP69" s="47">
        <f t="shared" si="5"/>
        <v>2.4180999999999999</v>
      </c>
      <c r="AQ69" s="47">
        <f t="shared" si="26"/>
        <v>24181</v>
      </c>
      <c r="AR69" s="47"/>
      <c r="AS69" s="47">
        <f t="shared" si="27"/>
        <v>4.8072999999999997</v>
      </c>
      <c r="AT69" s="47">
        <f t="shared" si="6"/>
        <v>2.9018000000000002</v>
      </c>
      <c r="AU69" s="47">
        <f t="shared" si="28"/>
        <v>29018</v>
      </c>
      <c r="AV69" s="47">
        <f t="shared" si="7"/>
        <v>1.9055</v>
      </c>
      <c r="AW69" s="47">
        <f t="shared" si="29"/>
        <v>19055</v>
      </c>
      <c r="AX69" s="47">
        <f t="shared" si="8"/>
        <v>73.489599999999996</v>
      </c>
      <c r="AY69" s="47"/>
      <c r="AZ69" s="47"/>
      <c r="BA69" s="54">
        <v>1E-4</v>
      </c>
      <c r="BB69" s="65" t="s">
        <v>196</v>
      </c>
      <c r="BC69" s="51">
        <f t="shared" si="30"/>
        <v>132.47999999999999</v>
      </c>
      <c r="BD69" s="47">
        <f t="shared" si="33"/>
        <v>86.639999999999986</v>
      </c>
      <c r="BE69" s="47">
        <f t="shared" si="31"/>
        <v>24.84</v>
      </c>
      <c r="BF69" s="47">
        <v>20700</v>
      </c>
      <c r="BG69" s="56"/>
      <c r="BH69" s="47">
        <v>21</v>
      </c>
      <c r="BI69" s="51">
        <f t="shared" si="10"/>
        <v>2.79</v>
      </c>
      <c r="BJ69" s="51">
        <f t="shared" si="11"/>
        <v>0</v>
      </c>
      <c r="BK69" s="47"/>
      <c r="BL69" s="47"/>
      <c r="BM69" s="47"/>
      <c r="BN69" s="47"/>
      <c r="BO69" s="47"/>
      <c r="BP69" s="66">
        <v>2.79</v>
      </c>
      <c r="BQ69" s="47"/>
      <c r="BR69" s="47"/>
      <c r="BS69" s="53"/>
      <c r="BT69" s="47"/>
      <c r="BU69" s="47"/>
      <c r="BV69" s="47"/>
      <c r="BW69" s="47"/>
      <c r="BX69" s="47"/>
      <c r="BY69" s="47"/>
      <c r="BZ69" s="47"/>
      <c r="CA69" s="47"/>
      <c r="CB69" s="54">
        <f t="shared" si="12"/>
        <v>1051.6222</v>
      </c>
      <c r="CC69" s="47"/>
      <c r="CD69" s="57"/>
      <c r="CE69" s="47"/>
      <c r="CF69" s="47">
        <f t="shared" si="13"/>
        <v>1051.6222</v>
      </c>
    </row>
    <row r="70" spans="1:84" ht="14.25" customHeight="1">
      <c r="A70" s="47">
        <v>63</v>
      </c>
      <c r="B70" s="47" t="s">
        <v>129</v>
      </c>
      <c r="C70" s="48">
        <v>306001</v>
      </c>
      <c r="D70" s="60" t="s">
        <v>197</v>
      </c>
      <c r="E70" s="60" t="s">
        <v>131</v>
      </c>
      <c r="F70" s="50">
        <f t="shared" si="14"/>
        <v>63</v>
      </c>
      <c r="G70" s="50">
        <v>27</v>
      </c>
      <c r="H70" s="50">
        <v>3</v>
      </c>
      <c r="I70" s="50">
        <f>31+2</f>
        <v>33</v>
      </c>
      <c r="J70" s="50"/>
      <c r="K70" s="50"/>
      <c r="L70" s="50"/>
      <c r="M70" s="50"/>
      <c r="N70" s="50">
        <f>12+4</f>
        <v>16</v>
      </c>
      <c r="O70" s="50">
        <f t="shared" si="15"/>
        <v>79</v>
      </c>
      <c r="P70" s="51">
        <f t="shared" si="0"/>
        <v>810.09879999999998</v>
      </c>
      <c r="Q70" s="51">
        <f t="shared" si="1"/>
        <v>699.79079999999999</v>
      </c>
      <c r="R70" s="47">
        <f t="shared" si="16"/>
        <v>178807</v>
      </c>
      <c r="S70" s="61">
        <v>79785</v>
      </c>
      <c r="T70" s="62">
        <v>99022</v>
      </c>
      <c r="U70" s="47">
        <f t="shared" si="17"/>
        <v>214.5684</v>
      </c>
      <c r="V70" s="51">
        <f t="shared" si="2"/>
        <v>117.324</v>
      </c>
      <c r="W70" s="47">
        <f t="shared" si="18"/>
        <v>67.5</v>
      </c>
      <c r="X70" s="66">
        <v>49.823999999999998</v>
      </c>
      <c r="Y70" s="47"/>
      <c r="Z70" s="47"/>
      <c r="AA70" s="47"/>
      <c r="AB70" s="51">
        <f t="shared" si="19"/>
        <v>116.3541</v>
      </c>
      <c r="AC70" s="47">
        <f t="shared" si="20"/>
        <v>7.9785000000000004</v>
      </c>
      <c r="AD70" s="66">
        <v>15.756</v>
      </c>
      <c r="AE70" s="47"/>
      <c r="AF70" s="47">
        <f t="shared" si="21"/>
        <v>92.619600000000005</v>
      </c>
      <c r="AG70" s="64">
        <v>77183</v>
      </c>
      <c r="AH70" s="47"/>
      <c r="AI70" s="47">
        <f t="shared" si="22"/>
        <v>85.47</v>
      </c>
      <c r="AJ70" s="53">
        <f t="shared" si="23"/>
        <v>74.901799999999994</v>
      </c>
      <c r="AK70" s="53">
        <f t="shared" si="24"/>
        <v>749018</v>
      </c>
      <c r="AL70" s="47"/>
      <c r="AM70" s="47">
        <f t="shared" si="3"/>
        <v>31.360800000000001</v>
      </c>
      <c r="AN70" s="47">
        <f t="shared" si="4"/>
        <v>29.523099999999999</v>
      </c>
      <c r="AO70" s="47">
        <f t="shared" si="25"/>
        <v>295231</v>
      </c>
      <c r="AP70" s="47">
        <f t="shared" si="5"/>
        <v>1.8376999999999999</v>
      </c>
      <c r="AQ70" s="47">
        <f t="shared" si="26"/>
        <v>18377</v>
      </c>
      <c r="AR70" s="47"/>
      <c r="AS70" s="47">
        <f t="shared" si="27"/>
        <v>3.6353</v>
      </c>
      <c r="AT70" s="47">
        <f t="shared" si="6"/>
        <v>2.2052</v>
      </c>
      <c r="AU70" s="47">
        <f t="shared" si="28"/>
        <v>22052</v>
      </c>
      <c r="AV70" s="47">
        <f t="shared" si="7"/>
        <v>1.4300999999999999</v>
      </c>
      <c r="AW70" s="47">
        <f t="shared" si="29"/>
        <v>14301</v>
      </c>
      <c r="AX70" s="47">
        <f t="shared" si="8"/>
        <v>56.176400000000001</v>
      </c>
      <c r="AY70" s="47"/>
      <c r="AZ70" s="47"/>
      <c r="BA70" s="54">
        <v>1E-4</v>
      </c>
      <c r="BB70" s="65" t="s">
        <v>197</v>
      </c>
      <c r="BC70" s="51">
        <f t="shared" si="30"/>
        <v>105.34</v>
      </c>
      <c r="BD70" s="47">
        <f t="shared" si="33"/>
        <v>67.680000000000007</v>
      </c>
      <c r="BE70" s="47">
        <f t="shared" si="31"/>
        <v>20.16</v>
      </c>
      <c r="BF70" s="47">
        <v>16800</v>
      </c>
      <c r="BG70" s="56"/>
      <c r="BH70" s="47">
        <v>17.5</v>
      </c>
      <c r="BI70" s="51">
        <f t="shared" si="10"/>
        <v>4.968</v>
      </c>
      <c r="BJ70" s="51">
        <f t="shared" si="11"/>
        <v>0</v>
      </c>
      <c r="BK70" s="47"/>
      <c r="BL70" s="47"/>
      <c r="BM70" s="47"/>
      <c r="BN70" s="47"/>
      <c r="BO70" s="47"/>
      <c r="BP70" s="66">
        <v>4.968</v>
      </c>
      <c r="BQ70" s="47"/>
      <c r="BR70" s="47"/>
      <c r="BS70" s="53"/>
      <c r="BT70" s="47"/>
      <c r="BU70" s="47"/>
      <c r="BV70" s="47"/>
      <c r="BW70" s="47"/>
      <c r="BX70" s="47"/>
      <c r="BY70" s="47"/>
      <c r="BZ70" s="47"/>
      <c r="CA70" s="47"/>
      <c r="CB70" s="54">
        <f t="shared" si="12"/>
        <v>810.09879999999998</v>
      </c>
      <c r="CC70" s="47"/>
      <c r="CD70" s="57"/>
      <c r="CE70" s="47"/>
      <c r="CF70" s="47">
        <f t="shared" si="13"/>
        <v>810.09879999999998</v>
      </c>
    </row>
    <row r="71" spans="1:84" ht="14.25" customHeight="1">
      <c r="A71" s="47">
        <v>64</v>
      </c>
      <c r="B71" s="47" t="s">
        <v>129</v>
      </c>
      <c r="C71" s="48">
        <v>307001</v>
      </c>
      <c r="D71" s="60" t="s">
        <v>198</v>
      </c>
      <c r="E71" s="60" t="s">
        <v>131</v>
      </c>
      <c r="F71" s="50">
        <f t="shared" si="14"/>
        <v>89</v>
      </c>
      <c r="G71" s="50">
        <f>35-4</f>
        <v>31</v>
      </c>
      <c r="H71" s="50">
        <v>8</v>
      </c>
      <c r="I71" s="50">
        <f>51-1</f>
        <v>50</v>
      </c>
      <c r="J71" s="50"/>
      <c r="K71" s="50"/>
      <c r="L71" s="50"/>
      <c r="M71" s="50"/>
      <c r="N71" s="50">
        <v>30</v>
      </c>
      <c r="O71" s="50">
        <f t="shared" si="15"/>
        <v>119</v>
      </c>
      <c r="P71" s="51">
        <f t="shared" si="0"/>
        <v>1167.5253</v>
      </c>
      <c r="Q71" s="51">
        <f t="shared" si="1"/>
        <v>1013.8933000000001</v>
      </c>
      <c r="R71" s="47">
        <f t="shared" si="16"/>
        <v>262753</v>
      </c>
      <c r="S71" s="61">
        <v>109358</v>
      </c>
      <c r="T71" s="62">
        <v>153395</v>
      </c>
      <c r="U71" s="47">
        <f t="shared" si="17"/>
        <v>315.30360000000002</v>
      </c>
      <c r="V71" s="51">
        <f t="shared" si="2"/>
        <v>161.11799999999999</v>
      </c>
      <c r="W71" s="47">
        <f t="shared" si="18"/>
        <v>87.75</v>
      </c>
      <c r="X71" s="66">
        <v>73.367999999999995</v>
      </c>
      <c r="Y71" s="47"/>
      <c r="Z71" s="47"/>
      <c r="AA71" s="47"/>
      <c r="AB71" s="51">
        <f t="shared" si="19"/>
        <v>167.22379999999998</v>
      </c>
      <c r="AC71" s="47">
        <f t="shared" si="20"/>
        <v>10.9358</v>
      </c>
      <c r="AD71" s="66">
        <v>21.686399999999999</v>
      </c>
      <c r="AE71" s="47"/>
      <c r="AF71" s="47">
        <f t="shared" si="21"/>
        <v>134.60159999999999</v>
      </c>
      <c r="AG71" s="64">
        <v>112168</v>
      </c>
      <c r="AH71" s="47"/>
      <c r="AI71" s="47">
        <f t="shared" si="22"/>
        <v>129.5</v>
      </c>
      <c r="AJ71" s="53">
        <f t="shared" si="23"/>
        <v>108.49460000000001</v>
      </c>
      <c r="AK71" s="53">
        <f t="shared" si="24"/>
        <v>1084946</v>
      </c>
      <c r="AL71" s="47"/>
      <c r="AM71" s="47">
        <f t="shared" si="3"/>
        <v>45.492100000000001</v>
      </c>
      <c r="AN71" s="47">
        <f t="shared" si="4"/>
        <v>42.829300000000003</v>
      </c>
      <c r="AO71" s="47">
        <f t="shared" si="25"/>
        <v>428293.00000000006</v>
      </c>
      <c r="AP71" s="47">
        <f t="shared" si="5"/>
        <v>2.6627999999999998</v>
      </c>
      <c r="AQ71" s="47">
        <f t="shared" si="26"/>
        <v>26628</v>
      </c>
      <c r="AR71" s="47"/>
      <c r="AS71" s="47">
        <f t="shared" si="27"/>
        <v>5.3902999999999999</v>
      </c>
      <c r="AT71" s="47">
        <f t="shared" si="6"/>
        <v>3.1953</v>
      </c>
      <c r="AU71" s="47">
        <f t="shared" si="28"/>
        <v>31953</v>
      </c>
      <c r="AV71" s="47">
        <f t="shared" si="7"/>
        <v>2.1949999999999998</v>
      </c>
      <c r="AW71" s="47">
        <f t="shared" si="29"/>
        <v>21950</v>
      </c>
      <c r="AX71" s="47">
        <f t="shared" si="8"/>
        <v>81.370900000000006</v>
      </c>
      <c r="AY71" s="47"/>
      <c r="AZ71" s="47"/>
      <c r="BA71" s="54">
        <v>1E-4</v>
      </c>
      <c r="BB71" s="65" t="s">
        <v>198</v>
      </c>
      <c r="BC71" s="51">
        <f t="shared" si="30"/>
        <v>145.1</v>
      </c>
      <c r="BD71" s="47">
        <f t="shared" si="33"/>
        <v>94.8</v>
      </c>
      <c r="BE71" s="47">
        <f t="shared" si="31"/>
        <v>25.8</v>
      </c>
      <c r="BF71" s="47">
        <v>21500</v>
      </c>
      <c r="BG71" s="56"/>
      <c r="BH71" s="47">
        <v>24.5</v>
      </c>
      <c r="BI71" s="51">
        <f t="shared" si="10"/>
        <v>8.532</v>
      </c>
      <c r="BJ71" s="51">
        <f t="shared" si="11"/>
        <v>0</v>
      </c>
      <c r="BK71" s="47"/>
      <c r="BL71" s="47"/>
      <c r="BM71" s="47"/>
      <c r="BN71" s="47"/>
      <c r="BO71" s="47"/>
      <c r="BP71" s="66">
        <v>8.532</v>
      </c>
      <c r="BQ71" s="47"/>
      <c r="BR71" s="47"/>
      <c r="BS71" s="53"/>
      <c r="BT71" s="47"/>
      <c r="BU71" s="47"/>
      <c r="BV71" s="47"/>
      <c r="BW71" s="47"/>
      <c r="BX71" s="47"/>
      <c r="BY71" s="47"/>
      <c r="BZ71" s="47"/>
      <c r="CA71" s="47"/>
      <c r="CB71" s="54">
        <f t="shared" si="12"/>
        <v>1167.5253</v>
      </c>
      <c r="CC71" s="47"/>
      <c r="CD71" s="57"/>
      <c r="CE71" s="47"/>
      <c r="CF71" s="47">
        <f t="shared" si="13"/>
        <v>1167.5253</v>
      </c>
    </row>
    <row r="72" spans="1:84" ht="14.25" customHeight="1">
      <c r="A72" s="47">
        <v>65</v>
      </c>
      <c r="B72" s="47" t="s">
        <v>129</v>
      </c>
      <c r="C72" s="48">
        <v>308001</v>
      </c>
      <c r="D72" s="60" t="s">
        <v>199</v>
      </c>
      <c r="E72" s="60" t="s">
        <v>131</v>
      </c>
      <c r="F72" s="50">
        <f t="shared" si="14"/>
        <v>103</v>
      </c>
      <c r="G72" s="50">
        <v>36</v>
      </c>
      <c r="H72" s="50">
        <v>3</v>
      </c>
      <c r="I72" s="50">
        <v>64</v>
      </c>
      <c r="J72" s="50"/>
      <c r="K72" s="50"/>
      <c r="L72" s="50"/>
      <c r="M72" s="50"/>
      <c r="N72" s="50">
        <f>29+1</f>
        <v>30</v>
      </c>
      <c r="O72" s="50">
        <f t="shared" si="15"/>
        <v>133</v>
      </c>
      <c r="P72" s="51">
        <f t="shared" ref="P72:P135" si="34">Q72+BC72+BI72</f>
        <v>1321.2266000000002</v>
      </c>
      <c r="Q72" s="51">
        <f t="shared" ref="Q72:Q135" si="35">U72+V72+AB72+AH72+AI72+AJ72+AL72+AM72+AR72+AS72+AX72+AY72+AZ72</f>
        <v>1158.0506</v>
      </c>
      <c r="R72" s="47">
        <f t="shared" si="16"/>
        <v>297174</v>
      </c>
      <c r="S72" s="61">
        <v>103599</v>
      </c>
      <c r="T72" s="62">
        <v>193575</v>
      </c>
      <c r="U72" s="47">
        <f t="shared" si="17"/>
        <v>356.60879999999997</v>
      </c>
      <c r="V72" s="51">
        <f t="shared" si="2"/>
        <v>171.55799999999999</v>
      </c>
      <c r="W72" s="47">
        <f t="shared" si="18"/>
        <v>87.75</v>
      </c>
      <c r="X72" s="66">
        <v>83.808000000000007</v>
      </c>
      <c r="Y72" s="47"/>
      <c r="Z72" s="47"/>
      <c r="AA72" s="47"/>
      <c r="AB72" s="51">
        <f t="shared" si="19"/>
        <v>188.97149999999999</v>
      </c>
      <c r="AC72" s="47">
        <f t="shared" si="20"/>
        <v>10.3599</v>
      </c>
      <c r="AD72" s="66">
        <v>25.447199999999999</v>
      </c>
      <c r="AE72" s="47"/>
      <c r="AF72" s="47">
        <f t="shared" si="21"/>
        <v>153.1644</v>
      </c>
      <c r="AG72" s="64">
        <v>127637</v>
      </c>
      <c r="AH72" s="47"/>
      <c r="AI72" s="47">
        <f t="shared" si="22"/>
        <v>165.76</v>
      </c>
      <c r="AJ72" s="53">
        <f t="shared" si="23"/>
        <v>123.7829</v>
      </c>
      <c r="AK72" s="53">
        <f t="shared" si="24"/>
        <v>1237829</v>
      </c>
      <c r="AL72" s="47"/>
      <c r="AM72" s="47">
        <f t="shared" ref="AM72:AM105" si="36">ROUND(((U72+W72+AI72)*0.085+N72*0.0075),4)</f>
        <v>52.085099999999997</v>
      </c>
      <c r="AN72" s="47">
        <f t="shared" ref="AN72:AN105" si="37">ROUND(((U72+W72+AI72)*0.08+N72*0.0075),4)</f>
        <v>49.034500000000001</v>
      </c>
      <c r="AO72" s="47">
        <f t="shared" si="25"/>
        <v>490345</v>
      </c>
      <c r="AP72" s="47">
        <f t="shared" ref="AP72:AP135" si="38">ROUND(((U72+W72+AI72)*0.005),4)</f>
        <v>3.0506000000000002</v>
      </c>
      <c r="AQ72" s="47">
        <f t="shared" si="26"/>
        <v>30506.000000000004</v>
      </c>
      <c r="AR72" s="47"/>
      <c r="AS72" s="47">
        <f t="shared" si="27"/>
        <v>6.4470999999999998</v>
      </c>
      <c r="AT72" s="47">
        <f t="shared" ref="AT72:AT105" si="39">ROUND(((U72+W72+AI72)*0.006),4)</f>
        <v>3.6606999999999998</v>
      </c>
      <c r="AU72" s="47">
        <f t="shared" si="28"/>
        <v>36607</v>
      </c>
      <c r="AV72" s="47">
        <f t="shared" ref="AV72:AV105" si="40">ROUND(((T72*12/10000+AI72)*0.007),4)</f>
        <v>2.7864</v>
      </c>
      <c r="AW72" s="47">
        <f t="shared" si="29"/>
        <v>27864</v>
      </c>
      <c r="AX72" s="47">
        <f t="shared" ref="AX72:AX112" si="41">ROUND((U72+W72+AC72+AE72+AF72+AI72)*0.12,4)</f>
        <v>92.837199999999996</v>
      </c>
      <c r="AY72" s="47"/>
      <c r="AZ72" s="47"/>
      <c r="BA72" s="54">
        <v>1E-4</v>
      </c>
      <c r="BB72" s="65" t="s">
        <v>199</v>
      </c>
      <c r="BC72" s="51">
        <f t="shared" si="30"/>
        <v>155.4</v>
      </c>
      <c r="BD72" s="47">
        <f t="shared" si="33"/>
        <v>108.24</v>
      </c>
      <c r="BE72" s="47">
        <f t="shared" si="31"/>
        <v>26.16</v>
      </c>
      <c r="BF72" s="47">
        <v>21800</v>
      </c>
      <c r="BG72" s="56"/>
      <c r="BH72" s="47">
        <v>21</v>
      </c>
      <c r="BI72" s="51">
        <f t="shared" ref="BI72:BI135" si="42">BJ72+BN72+BO72+BP72+BQ72+BS72+BT72+BU72+BV72+BW72+BR72</f>
        <v>7.7759999999999998</v>
      </c>
      <c r="BJ72" s="51">
        <f t="shared" ref="BJ72:BJ135" si="43">BL72+BM72+BK72</f>
        <v>0</v>
      </c>
      <c r="BK72" s="47"/>
      <c r="BL72" s="47"/>
      <c r="BM72" s="47"/>
      <c r="BN72" s="47"/>
      <c r="BO72" s="47"/>
      <c r="BP72" s="66">
        <v>7.7759999999999998</v>
      </c>
      <c r="BQ72" s="47"/>
      <c r="BR72" s="47"/>
      <c r="BS72" s="53"/>
      <c r="BT72" s="47"/>
      <c r="BU72" s="47"/>
      <c r="BV72" s="47"/>
      <c r="BW72" s="47"/>
      <c r="BX72" s="47"/>
      <c r="BY72" s="47"/>
      <c r="BZ72" s="47"/>
      <c r="CA72" s="47"/>
      <c r="CB72" s="54">
        <f t="shared" ref="CB72:CB135" si="44">P72+BX72+BZ72+BY72+CA72</f>
        <v>1321.2266000000002</v>
      </c>
      <c r="CC72" s="47"/>
      <c r="CD72" s="57"/>
      <c r="CE72" s="47"/>
      <c r="CF72" s="47">
        <f t="shared" ref="CF72:CF134" si="45">SUM(CB72:CE72)</f>
        <v>1321.2266000000002</v>
      </c>
    </row>
    <row r="73" spans="1:84" ht="14.25" customHeight="1">
      <c r="A73" s="47">
        <v>66</v>
      </c>
      <c r="B73" s="47" t="s">
        <v>129</v>
      </c>
      <c r="C73" s="48">
        <v>309001</v>
      </c>
      <c r="D73" s="60" t="s">
        <v>200</v>
      </c>
      <c r="E73" s="60" t="s">
        <v>131</v>
      </c>
      <c r="F73" s="50">
        <f t="shared" ref="F73:F136" si="46">SUM(G73:K73)</f>
        <v>144</v>
      </c>
      <c r="G73" s="50">
        <v>59</v>
      </c>
      <c r="H73" s="50">
        <v>8</v>
      </c>
      <c r="I73" s="50">
        <v>77</v>
      </c>
      <c r="J73" s="50"/>
      <c r="K73" s="50"/>
      <c r="L73" s="50"/>
      <c r="M73" s="50"/>
      <c r="N73" s="50">
        <v>63</v>
      </c>
      <c r="O73" s="50">
        <f t="shared" ref="O73:O136" si="47">F73+L73+M73+N73</f>
        <v>207</v>
      </c>
      <c r="P73" s="51">
        <f t="shared" si="34"/>
        <v>1874.69192</v>
      </c>
      <c r="Q73" s="51">
        <f t="shared" si="35"/>
        <v>1615.1779200000001</v>
      </c>
      <c r="R73" s="47">
        <f t="shared" ref="R73:R136" si="48">S73+T73</f>
        <v>422867.6</v>
      </c>
      <c r="S73" s="61">
        <v>182874.6</v>
      </c>
      <c r="T73" s="62">
        <v>239993</v>
      </c>
      <c r="U73" s="47">
        <f t="shared" ref="U73:U136" si="49">ROUND(R73*12/10000,5)</f>
        <v>507.44112000000001</v>
      </c>
      <c r="V73" s="51">
        <f t="shared" si="2"/>
        <v>265.06200000000001</v>
      </c>
      <c r="W73" s="47">
        <f t="shared" ref="W73:W136" si="50">ROUND((G73+H73)*2.25,4)</f>
        <v>150.75</v>
      </c>
      <c r="X73" s="66">
        <v>114.312</v>
      </c>
      <c r="Y73" s="47"/>
      <c r="Z73" s="47"/>
      <c r="AA73" s="47"/>
      <c r="AB73" s="51">
        <f t="shared" ref="AB73:AB92" si="51">SUM(AC73:AF73)</f>
        <v>258.65949999999998</v>
      </c>
      <c r="AC73" s="47">
        <f t="shared" ref="AC73:AC136" si="52">ROUND(S73/10000,4)</f>
        <v>18.287500000000001</v>
      </c>
      <c r="AD73" s="66">
        <v>35.361600000000003</v>
      </c>
      <c r="AE73" s="47"/>
      <c r="AF73" s="47">
        <f t="shared" ref="AF73:AF123" si="53">ROUND(AG73*12/10000,4)</f>
        <v>205.0104</v>
      </c>
      <c r="AG73" s="64">
        <v>170842</v>
      </c>
      <c r="AH73" s="47"/>
      <c r="AI73" s="47">
        <f t="shared" ref="AI73:AI136" si="54">ROUND(2.59*(I73+J73+K73),4)</f>
        <v>199.43</v>
      </c>
      <c r="AJ73" s="53">
        <f t="shared" ref="AJ73:AJ121" si="55">ROUND((U73+W73+AC73+AE73+AF73+AI73)*0.16,4)</f>
        <v>172.947</v>
      </c>
      <c r="AK73" s="53">
        <f t="shared" ref="AK73:AK136" si="56">AJ73*10000</f>
        <v>1729470</v>
      </c>
      <c r="AL73" s="47"/>
      <c r="AM73" s="47">
        <f t="shared" si="36"/>
        <v>73.3703</v>
      </c>
      <c r="AN73" s="47">
        <f t="shared" si="37"/>
        <v>69.0822</v>
      </c>
      <c r="AO73" s="47">
        <f t="shared" ref="AO73:AO136" si="57">AN73*10000</f>
        <v>690822</v>
      </c>
      <c r="AP73" s="47">
        <f t="shared" si="38"/>
        <v>4.2881</v>
      </c>
      <c r="AQ73" s="47">
        <f t="shared" ref="AQ73:AQ136" si="58">AP73*10000</f>
        <v>42881</v>
      </c>
      <c r="AR73" s="47"/>
      <c r="AS73" s="47">
        <f t="shared" ref="AS73:AS123" si="59">ROUND(((T73*12/10000+AI73)*0.007+(U73+W73+AI73)*0.006),4)</f>
        <v>8.5577000000000005</v>
      </c>
      <c r="AT73" s="47">
        <f t="shared" si="39"/>
        <v>5.1456999999999997</v>
      </c>
      <c r="AU73" s="47">
        <f t="shared" ref="AU73:AU136" si="60">AT73*10000</f>
        <v>51457</v>
      </c>
      <c r="AV73" s="47">
        <f t="shared" si="40"/>
        <v>3.4119999999999999</v>
      </c>
      <c r="AW73" s="47">
        <f t="shared" ref="AW73:AW136" si="61">AV73*10000</f>
        <v>34120</v>
      </c>
      <c r="AX73" s="47">
        <f t="shared" si="41"/>
        <v>129.71029999999999</v>
      </c>
      <c r="AY73" s="47"/>
      <c r="AZ73" s="47"/>
      <c r="BA73" s="54">
        <v>1E-4</v>
      </c>
      <c r="BB73" s="65" t="s">
        <v>200</v>
      </c>
      <c r="BC73" s="51">
        <f t="shared" ref="BC73:BC136" si="62">BD73+BE73+BG73+BH73</f>
        <v>233.54</v>
      </c>
      <c r="BD73" s="47">
        <f t="shared" si="33"/>
        <v>154.32</v>
      </c>
      <c r="BE73" s="47">
        <f t="shared" ref="BE73:BE136" si="63">ROUND(BF73*12/10000,4)</f>
        <v>44.22</v>
      </c>
      <c r="BF73" s="47">
        <v>36850</v>
      </c>
      <c r="BG73" s="56"/>
      <c r="BH73" s="47">
        <v>35</v>
      </c>
      <c r="BI73" s="51">
        <f t="shared" si="42"/>
        <v>25.974</v>
      </c>
      <c r="BJ73" s="51">
        <f t="shared" si="43"/>
        <v>0</v>
      </c>
      <c r="BK73" s="47"/>
      <c r="BL73" s="47"/>
      <c r="BM73" s="47"/>
      <c r="BN73" s="47"/>
      <c r="BO73" s="47"/>
      <c r="BP73" s="66">
        <v>25.974</v>
      </c>
      <c r="BQ73" s="47"/>
      <c r="BR73" s="47"/>
      <c r="BS73" s="53"/>
      <c r="BT73" s="47"/>
      <c r="BU73" s="47"/>
      <c r="BV73" s="47"/>
      <c r="BW73" s="47"/>
      <c r="BX73" s="47"/>
      <c r="BY73" s="47"/>
      <c r="BZ73" s="47"/>
      <c r="CA73" s="47"/>
      <c r="CB73" s="54">
        <f t="shared" si="44"/>
        <v>1874.69192</v>
      </c>
      <c r="CC73" s="47"/>
      <c r="CD73" s="57"/>
      <c r="CE73" s="47"/>
      <c r="CF73" s="47">
        <f t="shared" si="45"/>
        <v>1874.69192</v>
      </c>
    </row>
    <row r="74" spans="1:84" ht="14.25" customHeight="1">
      <c r="A74" s="47">
        <v>67</v>
      </c>
      <c r="B74" s="47" t="s">
        <v>129</v>
      </c>
      <c r="C74" s="48">
        <v>310001</v>
      </c>
      <c r="D74" s="60" t="s">
        <v>201</v>
      </c>
      <c r="E74" s="60" t="s">
        <v>131</v>
      </c>
      <c r="F74" s="50">
        <f t="shared" si="46"/>
        <v>94</v>
      </c>
      <c r="G74" s="50">
        <v>34</v>
      </c>
      <c r="H74" s="50">
        <v>4</v>
      </c>
      <c r="I74" s="50">
        <v>56</v>
      </c>
      <c r="J74" s="50"/>
      <c r="K74" s="50"/>
      <c r="L74" s="50"/>
      <c r="M74" s="50">
        <v>1</v>
      </c>
      <c r="N74" s="50">
        <f>11+1</f>
        <v>12</v>
      </c>
      <c r="O74" s="50">
        <f t="shared" si="47"/>
        <v>107</v>
      </c>
      <c r="P74" s="51">
        <f t="shared" si="34"/>
        <v>1221.4352000000001</v>
      </c>
      <c r="Q74" s="51">
        <f t="shared" si="35"/>
        <v>1063.8572000000001</v>
      </c>
      <c r="R74" s="47">
        <f t="shared" si="48"/>
        <v>271976</v>
      </c>
      <c r="S74" s="61">
        <v>107754</v>
      </c>
      <c r="T74" s="62">
        <v>164222</v>
      </c>
      <c r="U74" s="47">
        <f t="shared" si="49"/>
        <v>326.37119999999999</v>
      </c>
      <c r="V74" s="51">
        <f t="shared" si="2"/>
        <v>164.124</v>
      </c>
      <c r="W74" s="47">
        <f t="shared" si="50"/>
        <v>85.5</v>
      </c>
      <c r="X74" s="66">
        <v>78.623999999999995</v>
      </c>
      <c r="Y74" s="47"/>
      <c r="Z74" s="47"/>
      <c r="AA74" s="47"/>
      <c r="AB74" s="51">
        <f t="shared" si="51"/>
        <v>176.37420000000003</v>
      </c>
      <c r="AC74" s="47">
        <f t="shared" si="52"/>
        <v>10.775399999999999</v>
      </c>
      <c r="AD74" s="66">
        <v>23.342400000000001</v>
      </c>
      <c r="AE74" s="47"/>
      <c r="AF74" s="47">
        <f t="shared" si="53"/>
        <v>142.25640000000001</v>
      </c>
      <c r="AG74" s="64">
        <v>118547</v>
      </c>
      <c r="AH74" s="47"/>
      <c r="AI74" s="47">
        <f t="shared" si="54"/>
        <v>145.04</v>
      </c>
      <c r="AJ74" s="53">
        <f t="shared" si="55"/>
        <v>113.5909</v>
      </c>
      <c r="AK74" s="53">
        <f t="shared" si="56"/>
        <v>1135909</v>
      </c>
      <c r="AL74" s="47"/>
      <c r="AM74" s="47">
        <f t="shared" si="36"/>
        <v>47.427500000000002</v>
      </c>
      <c r="AN74" s="47">
        <f t="shared" si="37"/>
        <v>44.642899999999997</v>
      </c>
      <c r="AO74" s="47">
        <f t="shared" si="57"/>
        <v>446429</v>
      </c>
      <c r="AP74" s="47">
        <f t="shared" si="38"/>
        <v>2.7846000000000002</v>
      </c>
      <c r="AQ74" s="47">
        <f t="shared" si="58"/>
        <v>27846.000000000004</v>
      </c>
      <c r="AR74" s="47"/>
      <c r="AS74" s="47">
        <f t="shared" si="59"/>
        <v>5.7362000000000002</v>
      </c>
      <c r="AT74" s="47">
        <f t="shared" si="39"/>
        <v>3.3414999999999999</v>
      </c>
      <c r="AU74" s="47">
        <f t="shared" si="60"/>
        <v>33415</v>
      </c>
      <c r="AV74" s="47">
        <f t="shared" si="40"/>
        <v>2.3946999999999998</v>
      </c>
      <c r="AW74" s="47">
        <f t="shared" si="61"/>
        <v>23947</v>
      </c>
      <c r="AX74" s="47">
        <f t="shared" si="41"/>
        <v>85.193200000000004</v>
      </c>
      <c r="AY74" s="47"/>
      <c r="AZ74" s="47"/>
      <c r="BA74" s="54">
        <v>1E-4</v>
      </c>
      <c r="BB74" s="65" t="s">
        <v>201</v>
      </c>
      <c r="BC74" s="51">
        <f t="shared" si="62"/>
        <v>146.1</v>
      </c>
      <c r="BD74" s="47">
        <f t="shared" si="33"/>
        <v>99.36</v>
      </c>
      <c r="BE74" s="47">
        <f t="shared" si="63"/>
        <v>25.74</v>
      </c>
      <c r="BF74" s="47">
        <v>21450</v>
      </c>
      <c r="BG74" s="56"/>
      <c r="BH74" s="47">
        <v>21</v>
      </c>
      <c r="BI74" s="51">
        <f t="shared" si="42"/>
        <v>11.478</v>
      </c>
      <c r="BJ74" s="51">
        <f t="shared" si="43"/>
        <v>4.3860000000000001</v>
      </c>
      <c r="BK74" s="47"/>
      <c r="BL74" s="47">
        <v>4.3860000000000001</v>
      </c>
      <c r="BM74" s="47"/>
      <c r="BN74" s="47"/>
      <c r="BO74" s="47"/>
      <c r="BP74" s="66">
        <v>7.0919999999999996</v>
      </c>
      <c r="BQ74" s="47"/>
      <c r="BR74" s="47"/>
      <c r="BS74" s="53"/>
      <c r="BT74" s="47"/>
      <c r="BU74" s="47"/>
      <c r="BV74" s="47"/>
      <c r="BW74" s="47"/>
      <c r="BX74" s="47"/>
      <c r="BY74" s="47"/>
      <c r="BZ74" s="47"/>
      <c r="CA74" s="47"/>
      <c r="CB74" s="54">
        <f t="shared" si="44"/>
        <v>1221.4352000000001</v>
      </c>
      <c r="CC74" s="47"/>
      <c r="CD74" s="57"/>
      <c r="CE74" s="47"/>
      <c r="CF74" s="47">
        <f t="shared" si="45"/>
        <v>1221.4352000000001</v>
      </c>
    </row>
    <row r="75" spans="1:84" ht="14.25" customHeight="1">
      <c r="A75" s="47">
        <v>68</v>
      </c>
      <c r="B75" s="47" t="s">
        <v>129</v>
      </c>
      <c r="C75" s="48">
        <v>311001</v>
      </c>
      <c r="D75" s="60" t="s">
        <v>202</v>
      </c>
      <c r="E75" s="60" t="s">
        <v>131</v>
      </c>
      <c r="F75" s="50">
        <f t="shared" si="46"/>
        <v>116</v>
      </c>
      <c r="G75" s="50">
        <v>40</v>
      </c>
      <c r="H75" s="50">
        <v>8</v>
      </c>
      <c r="I75" s="50">
        <v>68</v>
      </c>
      <c r="J75" s="50"/>
      <c r="K75" s="50"/>
      <c r="L75" s="50"/>
      <c r="M75" s="50"/>
      <c r="N75" s="50">
        <v>47</v>
      </c>
      <c r="O75" s="50">
        <f t="shared" si="47"/>
        <v>163</v>
      </c>
      <c r="P75" s="51">
        <f t="shared" si="34"/>
        <v>1506.9688000000003</v>
      </c>
      <c r="Q75" s="51">
        <f t="shared" si="35"/>
        <v>1298.2448000000002</v>
      </c>
      <c r="R75" s="47">
        <f t="shared" si="48"/>
        <v>349173</v>
      </c>
      <c r="S75" s="61">
        <v>140050</v>
      </c>
      <c r="T75" s="62">
        <v>209123</v>
      </c>
      <c r="U75" s="47">
        <f t="shared" si="49"/>
        <v>419.00760000000002</v>
      </c>
      <c r="V75" s="51">
        <f t="shared" si="2"/>
        <v>206.49599999999998</v>
      </c>
      <c r="W75" s="47">
        <f t="shared" si="50"/>
        <v>108</v>
      </c>
      <c r="X75" s="66">
        <v>98.495999999999995</v>
      </c>
      <c r="Y75" s="47"/>
      <c r="Z75" s="47"/>
      <c r="AA75" s="47"/>
      <c r="AB75" s="51">
        <f t="shared" si="51"/>
        <v>187.72300000000001</v>
      </c>
      <c r="AC75" s="47">
        <f t="shared" si="52"/>
        <v>14.005000000000001</v>
      </c>
      <c r="AD75" s="66">
        <v>28.0944</v>
      </c>
      <c r="AE75" s="47"/>
      <c r="AF75" s="47">
        <f t="shared" si="53"/>
        <v>145.62360000000001</v>
      </c>
      <c r="AG75" s="64">
        <v>121353</v>
      </c>
      <c r="AH75" s="47"/>
      <c r="AI75" s="47">
        <f t="shared" si="54"/>
        <v>176.12</v>
      </c>
      <c r="AJ75" s="53">
        <f t="shared" si="55"/>
        <v>138.041</v>
      </c>
      <c r="AK75" s="53">
        <f t="shared" si="56"/>
        <v>1380410</v>
      </c>
      <c r="AL75" s="47"/>
      <c r="AM75" s="47">
        <f t="shared" si="36"/>
        <v>60.118299999999998</v>
      </c>
      <c r="AN75" s="47">
        <f t="shared" si="37"/>
        <v>56.602699999999999</v>
      </c>
      <c r="AO75" s="47">
        <f t="shared" si="57"/>
        <v>566027</v>
      </c>
      <c r="AP75" s="47">
        <f t="shared" si="38"/>
        <v>3.5156000000000001</v>
      </c>
      <c r="AQ75" s="47">
        <f t="shared" si="58"/>
        <v>35156</v>
      </c>
      <c r="AR75" s="47"/>
      <c r="AS75" s="47">
        <f t="shared" si="59"/>
        <v>7.2081999999999997</v>
      </c>
      <c r="AT75" s="47">
        <f t="shared" si="39"/>
        <v>4.2187999999999999</v>
      </c>
      <c r="AU75" s="47">
        <f t="shared" si="60"/>
        <v>42188</v>
      </c>
      <c r="AV75" s="47">
        <f t="shared" si="40"/>
        <v>2.9895</v>
      </c>
      <c r="AW75" s="47">
        <f t="shared" si="61"/>
        <v>29895</v>
      </c>
      <c r="AX75" s="47">
        <f t="shared" si="41"/>
        <v>103.5307</v>
      </c>
      <c r="AY75" s="47"/>
      <c r="AZ75" s="47"/>
      <c r="BA75" s="54">
        <v>1E-4</v>
      </c>
      <c r="BB75" s="65" t="s">
        <v>202</v>
      </c>
      <c r="BC75" s="51">
        <f t="shared" si="62"/>
        <v>189.68</v>
      </c>
      <c r="BD75" s="47">
        <f t="shared" si="33"/>
        <v>122.88</v>
      </c>
      <c r="BE75" s="47">
        <f t="shared" si="63"/>
        <v>31.8</v>
      </c>
      <c r="BF75" s="47">
        <v>26500</v>
      </c>
      <c r="BG75" s="56"/>
      <c r="BH75" s="47">
        <v>35</v>
      </c>
      <c r="BI75" s="51">
        <f t="shared" si="42"/>
        <v>19.044</v>
      </c>
      <c r="BJ75" s="51">
        <f t="shared" si="43"/>
        <v>0</v>
      </c>
      <c r="BK75" s="47"/>
      <c r="BL75" s="47"/>
      <c r="BM75" s="47"/>
      <c r="BN75" s="47"/>
      <c r="BO75" s="47"/>
      <c r="BP75" s="66">
        <v>19.044</v>
      </c>
      <c r="BQ75" s="47"/>
      <c r="BR75" s="47"/>
      <c r="BS75" s="53"/>
      <c r="BT75" s="47"/>
      <c r="BU75" s="47"/>
      <c r="BV75" s="47"/>
      <c r="BW75" s="47"/>
      <c r="BX75" s="47"/>
      <c r="BY75" s="47"/>
      <c r="BZ75" s="47"/>
      <c r="CA75" s="47"/>
      <c r="CB75" s="54">
        <f t="shared" si="44"/>
        <v>1506.9688000000003</v>
      </c>
      <c r="CC75" s="47"/>
      <c r="CD75" s="57"/>
      <c r="CE75" s="47"/>
      <c r="CF75" s="47">
        <f t="shared" si="45"/>
        <v>1506.9688000000003</v>
      </c>
    </row>
    <row r="76" spans="1:84" ht="14.25" customHeight="1">
      <c r="A76" s="47">
        <v>69</v>
      </c>
      <c r="B76" s="47" t="s">
        <v>129</v>
      </c>
      <c r="C76" s="48">
        <v>312001</v>
      </c>
      <c r="D76" s="60" t="s">
        <v>203</v>
      </c>
      <c r="E76" s="60" t="s">
        <v>131</v>
      </c>
      <c r="F76" s="50">
        <f t="shared" si="46"/>
        <v>68</v>
      </c>
      <c r="G76" s="50">
        <v>22</v>
      </c>
      <c r="H76" s="50">
        <v>3</v>
      </c>
      <c r="I76" s="50">
        <v>43</v>
      </c>
      <c r="J76" s="50"/>
      <c r="K76" s="50"/>
      <c r="L76" s="50"/>
      <c r="M76" s="50"/>
      <c r="N76" s="50">
        <f>11+1</f>
        <v>12</v>
      </c>
      <c r="O76" s="50">
        <f t="shared" si="47"/>
        <v>80</v>
      </c>
      <c r="P76" s="51">
        <f t="shared" si="34"/>
        <v>850.56349999999998</v>
      </c>
      <c r="Q76" s="51">
        <f t="shared" si="35"/>
        <v>732.52750000000003</v>
      </c>
      <c r="R76" s="47">
        <f t="shared" si="48"/>
        <v>179815</v>
      </c>
      <c r="S76" s="61">
        <v>66291</v>
      </c>
      <c r="T76" s="62">
        <v>113524</v>
      </c>
      <c r="U76" s="47">
        <f t="shared" si="49"/>
        <v>215.77799999999999</v>
      </c>
      <c r="V76" s="51">
        <f t="shared" si="2"/>
        <v>106.41</v>
      </c>
      <c r="W76" s="47">
        <f t="shared" si="50"/>
        <v>56.25</v>
      </c>
      <c r="X76" s="66">
        <v>50.16</v>
      </c>
      <c r="Y76" s="47"/>
      <c r="Z76" s="47"/>
      <c r="AA76" s="47"/>
      <c r="AB76" s="51">
        <f t="shared" si="51"/>
        <v>124.30710000000001</v>
      </c>
      <c r="AC76" s="47">
        <f t="shared" si="52"/>
        <v>6.6291000000000002</v>
      </c>
      <c r="AD76" s="66">
        <v>15.026400000000001</v>
      </c>
      <c r="AE76" s="47"/>
      <c r="AF76" s="47">
        <f t="shared" si="53"/>
        <v>102.6516</v>
      </c>
      <c r="AG76" s="64">
        <v>85543</v>
      </c>
      <c r="AH76" s="47"/>
      <c r="AI76" s="47">
        <f t="shared" si="54"/>
        <v>111.37</v>
      </c>
      <c r="AJ76" s="53">
        <f t="shared" si="55"/>
        <v>78.828599999999994</v>
      </c>
      <c r="AK76" s="53">
        <f t="shared" si="56"/>
        <v>788286</v>
      </c>
      <c r="AL76" s="47"/>
      <c r="AM76" s="47">
        <f t="shared" si="36"/>
        <v>32.678800000000003</v>
      </c>
      <c r="AN76" s="47">
        <f t="shared" si="37"/>
        <v>30.761800000000001</v>
      </c>
      <c r="AO76" s="47">
        <f t="shared" si="57"/>
        <v>307618</v>
      </c>
      <c r="AP76" s="47">
        <f t="shared" si="38"/>
        <v>1.917</v>
      </c>
      <c r="AQ76" s="47">
        <f t="shared" si="58"/>
        <v>19170</v>
      </c>
      <c r="AR76" s="47"/>
      <c r="AS76" s="47">
        <f t="shared" si="59"/>
        <v>4.0335999999999999</v>
      </c>
      <c r="AT76" s="47">
        <f t="shared" si="39"/>
        <v>2.3003999999999998</v>
      </c>
      <c r="AU76" s="47">
        <f t="shared" si="60"/>
        <v>23003.999999999996</v>
      </c>
      <c r="AV76" s="47">
        <f t="shared" si="40"/>
        <v>1.7332000000000001</v>
      </c>
      <c r="AW76" s="47">
        <f t="shared" si="61"/>
        <v>17332</v>
      </c>
      <c r="AX76" s="47">
        <f t="shared" si="41"/>
        <v>59.121400000000001</v>
      </c>
      <c r="AY76" s="47"/>
      <c r="AZ76" s="47"/>
      <c r="BA76" s="54">
        <v>1E-4</v>
      </c>
      <c r="BB76" s="65" t="s">
        <v>203</v>
      </c>
      <c r="BC76" s="51">
        <f t="shared" si="62"/>
        <v>116.38</v>
      </c>
      <c r="BD76" s="47">
        <f t="shared" si="33"/>
        <v>71.28</v>
      </c>
      <c r="BE76" s="47">
        <f t="shared" si="63"/>
        <v>17.100000000000001</v>
      </c>
      <c r="BF76" s="47">
        <v>14250</v>
      </c>
      <c r="BG76" s="56"/>
      <c r="BH76" s="47">
        <v>28</v>
      </c>
      <c r="BI76" s="51">
        <f t="shared" si="42"/>
        <v>1.6559999999999999</v>
      </c>
      <c r="BJ76" s="51">
        <f t="shared" si="43"/>
        <v>0</v>
      </c>
      <c r="BK76" s="47"/>
      <c r="BL76" s="47"/>
      <c r="BM76" s="47"/>
      <c r="BN76" s="47"/>
      <c r="BO76" s="47"/>
      <c r="BP76" s="66">
        <v>1.6559999999999999</v>
      </c>
      <c r="BQ76" s="47"/>
      <c r="BR76" s="47"/>
      <c r="BS76" s="53"/>
      <c r="BT76" s="47"/>
      <c r="BU76" s="47"/>
      <c r="BV76" s="47"/>
      <c r="BW76" s="47"/>
      <c r="BX76" s="47"/>
      <c r="BY76" s="47"/>
      <c r="BZ76" s="47"/>
      <c r="CA76" s="47"/>
      <c r="CB76" s="54">
        <f t="shared" si="44"/>
        <v>850.56349999999998</v>
      </c>
      <c r="CC76" s="47"/>
      <c r="CD76" s="57"/>
      <c r="CE76" s="47"/>
      <c r="CF76" s="47">
        <f t="shared" si="45"/>
        <v>850.56349999999998</v>
      </c>
    </row>
    <row r="77" spans="1:84" ht="14.25" customHeight="1">
      <c r="A77" s="47">
        <v>70</v>
      </c>
      <c r="B77" s="47" t="s">
        <v>129</v>
      </c>
      <c r="C77" s="48">
        <v>313001</v>
      </c>
      <c r="D77" s="60" t="s">
        <v>204</v>
      </c>
      <c r="E77" s="60" t="s">
        <v>131</v>
      </c>
      <c r="F77" s="50">
        <f t="shared" si="46"/>
        <v>101</v>
      </c>
      <c r="G77" s="50">
        <v>38</v>
      </c>
      <c r="H77" s="50">
        <v>5</v>
      </c>
      <c r="I77" s="50">
        <f>53+5</f>
        <v>58</v>
      </c>
      <c r="J77" s="50"/>
      <c r="K77" s="50"/>
      <c r="L77" s="50"/>
      <c r="M77" s="50"/>
      <c r="N77" s="50">
        <f>27+1</f>
        <v>28</v>
      </c>
      <c r="O77" s="50">
        <f t="shared" si="47"/>
        <v>129</v>
      </c>
      <c r="P77" s="51">
        <f t="shared" si="34"/>
        <v>1316.4818000000002</v>
      </c>
      <c r="Q77" s="51">
        <f t="shared" si="35"/>
        <v>1137.9978000000001</v>
      </c>
      <c r="R77" s="47">
        <f t="shared" si="48"/>
        <v>300577</v>
      </c>
      <c r="S77" s="61">
        <v>122130</v>
      </c>
      <c r="T77" s="62">
        <v>178447</v>
      </c>
      <c r="U77" s="47">
        <f t="shared" si="49"/>
        <v>360.69240000000002</v>
      </c>
      <c r="V77" s="51">
        <f t="shared" si="2"/>
        <v>172.63800000000001</v>
      </c>
      <c r="W77" s="47">
        <f t="shared" si="50"/>
        <v>96.75</v>
      </c>
      <c r="X77" s="66">
        <v>75.888000000000005</v>
      </c>
      <c r="Y77" s="47"/>
      <c r="Z77" s="47"/>
      <c r="AA77" s="47"/>
      <c r="AB77" s="51">
        <f t="shared" si="51"/>
        <v>181.90979999999999</v>
      </c>
      <c r="AC77" s="47">
        <f t="shared" si="52"/>
        <v>12.212999999999999</v>
      </c>
      <c r="AD77" s="66">
        <v>23.572800000000001</v>
      </c>
      <c r="AE77" s="47"/>
      <c r="AF77" s="47">
        <f t="shared" si="53"/>
        <v>146.124</v>
      </c>
      <c r="AG77" s="64">
        <v>121770</v>
      </c>
      <c r="AH77" s="47"/>
      <c r="AI77" s="47">
        <f t="shared" si="54"/>
        <v>150.22</v>
      </c>
      <c r="AJ77" s="53">
        <f t="shared" si="55"/>
        <v>122.5599</v>
      </c>
      <c r="AK77" s="53">
        <f t="shared" si="56"/>
        <v>1225599</v>
      </c>
      <c r="AL77" s="47"/>
      <c r="AM77" s="47">
        <f t="shared" si="36"/>
        <v>51.8613</v>
      </c>
      <c r="AN77" s="47">
        <f t="shared" si="37"/>
        <v>48.823</v>
      </c>
      <c r="AO77" s="47">
        <f t="shared" si="57"/>
        <v>488230</v>
      </c>
      <c r="AP77" s="47">
        <f t="shared" si="38"/>
        <v>3.0383</v>
      </c>
      <c r="AQ77" s="47">
        <f t="shared" si="58"/>
        <v>30383</v>
      </c>
      <c r="AR77" s="47"/>
      <c r="AS77" s="47">
        <f t="shared" si="59"/>
        <v>6.1965000000000003</v>
      </c>
      <c r="AT77" s="47">
        <f t="shared" si="39"/>
        <v>3.6459999999999999</v>
      </c>
      <c r="AU77" s="47">
        <f t="shared" si="60"/>
        <v>36460</v>
      </c>
      <c r="AV77" s="47">
        <f t="shared" si="40"/>
        <v>2.5505</v>
      </c>
      <c r="AW77" s="47">
        <f t="shared" si="61"/>
        <v>25505</v>
      </c>
      <c r="AX77" s="47">
        <f t="shared" si="41"/>
        <v>91.919899999999998</v>
      </c>
      <c r="AY77" s="47"/>
      <c r="AZ77" s="47"/>
      <c r="BA77" s="54">
        <v>1E-4</v>
      </c>
      <c r="BB77" s="65" t="s">
        <v>204</v>
      </c>
      <c r="BC77" s="51">
        <f t="shared" si="62"/>
        <v>171.24799999999999</v>
      </c>
      <c r="BD77" s="47">
        <f t="shared" si="33"/>
        <v>107.28</v>
      </c>
      <c r="BE77" s="47">
        <f t="shared" si="63"/>
        <v>28.968</v>
      </c>
      <c r="BF77" s="47">
        <v>24140</v>
      </c>
      <c r="BG77" s="56"/>
      <c r="BH77" s="47">
        <v>35</v>
      </c>
      <c r="BI77" s="51">
        <f t="shared" si="42"/>
        <v>7.2359999999999998</v>
      </c>
      <c r="BJ77" s="51">
        <f t="shared" si="43"/>
        <v>0</v>
      </c>
      <c r="BK77" s="47"/>
      <c r="BL77" s="47"/>
      <c r="BM77" s="47"/>
      <c r="BN77" s="47"/>
      <c r="BO77" s="47"/>
      <c r="BP77" s="66">
        <v>7.2359999999999998</v>
      </c>
      <c r="BQ77" s="47"/>
      <c r="BR77" s="47"/>
      <c r="BS77" s="53"/>
      <c r="BT77" s="47"/>
      <c r="BU77" s="47"/>
      <c r="BV77" s="47"/>
      <c r="BW77" s="47"/>
      <c r="BX77" s="47"/>
      <c r="BY77" s="47"/>
      <c r="BZ77" s="47"/>
      <c r="CA77" s="47"/>
      <c r="CB77" s="54">
        <f t="shared" si="44"/>
        <v>1316.4818000000002</v>
      </c>
      <c r="CC77" s="47"/>
      <c r="CD77" s="57"/>
      <c r="CE77" s="47"/>
      <c r="CF77" s="47">
        <f t="shared" si="45"/>
        <v>1316.4818000000002</v>
      </c>
    </row>
    <row r="78" spans="1:84" ht="14.25" customHeight="1">
      <c r="A78" s="47">
        <v>71</v>
      </c>
      <c r="B78" s="47" t="s">
        <v>129</v>
      </c>
      <c r="C78" s="48">
        <v>314001</v>
      </c>
      <c r="D78" s="60" t="s">
        <v>205</v>
      </c>
      <c r="E78" s="60" t="s">
        <v>131</v>
      </c>
      <c r="F78" s="50">
        <f t="shared" si="46"/>
        <v>105</v>
      </c>
      <c r="G78" s="50">
        <v>41</v>
      </c>
      <c r="H78" s="50">
        <v>4</v>
      </c>
      <c r="I78" s="50">
        <f>23+5</f>
        <v>28</v>
      </c>
      <c r="J78" s="50">
        <v>32</v>
      </c>
      <c r="K78" s="50"/>
      <c r="L78" s="50"/>
      <c r="M78" s="50"/>
      <c r="N78" s="50">
        <f>28+1</f>
        <v>29</v>
      </c>
      <c r="O78" s="50">
        <f t="shared" si="47"/>
        <v>134</v>
      </c>
      <c r="P78" s="51">
        <f t="shared" si="34"/>
        <v>1397.9560399999998</v>
      </c>
      <c r="Q78" s="51">
        <f t="shared" si="35"/>
        <v>1211.6600399999998</v>
      </c>
      <c r="R78" s="47">
        <f t="shared" si="48"/>
        <v>325661.2</v>
      </c>
      <c r="S78" s="61">
        <v>135137</v>
      </c>
      <c r="T78" s="62">
        <v>190524.2</v>
      </c>
      <c r="U78" s="47">
        <f t="shared" si="49"/>
        <v>390.79343999999998</v>
      </c>
      <c r="V78" s="51">
        <f t="shared" si="2"/>
        <v>185.346</v>
      </c>
      <c r="W78" s="47">
        <f t="shared" si="50"/>
        <v>101.25</v>
      </c>
      <c r="X78" s="66">
        <v>84.096000000000004</v>
      </c>
      <c r="Y78" s="47"/>
      <c r="Z78" s="47"/>
      <c r="AA78" s="47"/>
      <c r="AB78" s="51">
        <f t="shared" si="51"/>
        <v>190.82089999999999</v>
      </c>
      <c r="AC78" s="47">
        <f t="shared" si="52"/>
        <v>13.5137</v>
      </c>
      <c r="AD78" s="66">
        <v>25.847999999999999</v>
      </c>
      <c r="AE78" s="47"/>
      <c r="AF78" s="47">
        <f t="shared" si="53"/>
        <v>151.45920000000001</v>
      </c>
      <c r="AG78" s="64">
        <v>126216</v>
      </c>
      <c r="AH78" s="47"/>
      <c r="AI78" s="47">
        <f t="shared" si="54"/>
        <v>155.4</v>
      </c>
      <c r="AJ78" s="53">
        <f t="shared" si="55"/>
        <v>129.98660000000001</v>
      </c>
      <c r="AK78" s="53">
        <f t="shared" si="56"/>
        <v>1299866</v>
      </c>
      <c r="AL78" s="47"/>
      <c r="AM78" s="47">
        <f t="shared" si="36"/>
        <v>55.2502</v>
      </c>
      <c r="AN78" s="47">
        <f t="shared" si="37"/>
        <v>52.012999999999998</v>
      </c>
      <c r="AO78" s="47">
        <f t="shared" si="57"/>
        <v>520130</v>
      </c>
      <c r="AP78" s="47">
        <f t="shared" si="38"/>
        <v>3.2372000000000001</v>
      </c>
      <c r="AQ78" s="47">
        <f t="shared" si="58"/>
        <v>32372</v>
      </c>
      <c r="AR78" s="47"/>
      <c r="AS78" s="47">
        <f t="shared" si="59"/>
        <v>6.5728999999999997</v>
      </c>
      <c r="AT78" s="47">
        <f t="shared" si="39"/>
        <v>3.8847</v>
      </c>
      <c r="AU78" s="47">
        <f t="shared" si="60"/>
        <v>38847</v>
      </c>
      <c r="AV78" s="47">
        <f t="shared" si="40"/>
        <v>2.6882000000000001</v>
      </c>
      <c r="AW78" s="47">
        <f t="shared" si="61"/>
        <v>26882</v>
      </c>
      <c r="AX78" s="47">
        <f t="shared" si="41"/>
        <v>97.49</v>
      </c>
      <c r="AY78" s="47"/>
      <c r="AZ78" s="47"/>
      <c r="BA78" s="54">
        <v>1E-4</v>
      </c>
      <c r="BB78" s="65" t="s">
        <v>205</v>
      </c>
      <c r="BC78" s="51">
        <f t="shared" si="62"/>
        <v>178.08799999999999</v>
      </c>
      <c r="BD78" s="47">
        <f t="shared" si="33"/>
        <v>111.6</v>
      </c>
      <c r="BE78" s="47">
        <f t="shared" si="63"/>
        <v>31.488</v>
      </c>
      <c r="BF78" s="47">
        <v>26240</v>
      </c>
      <c r="BG78" s="56"/>
      <c r="BH78" s="47">
        <v>35</v>
      </c>
      <c r="BI78" s="51">
        <f t="shared" si="42"/>
        <v>8.2080000000000002</v>
      </c>
      <c r="BJ78" s="51">
        <f t="shared" si="43"/>
        <v>0</v>
      </c>
      <c r="BK78" s="47"/>
      <c r="BL78" s="47"/>
      <c r="BM78" s="47"/>
      <c r="BN78" s="47"/>
      <c r="BO78" s="47"/>
      <c r="BP78" s="66">
        <v>8.2080000000000002</v>
      </c>
      <c r="BQ78" s="47"/>
      <c r="BR78" s="47"/>
      <c r="BS78" s="53"/>
      <c r="BT78" s="47"/>
      <c r="BU78" s="47"/>
      <c r="BV78" s="47"/>
      <c r="BW78" s="47"/>
      <c r="BX78" s="47"/>
      <c r="BY78" s="47"/>
      <c r="BZ78" s="47"/>
      <c r="CA78" s="47"/>
      <c r="CB78" s="54">
        <f t="shared" si="44"/>
        <v>1397.9560399999998</v>
      </c>
      <c r="CC78" s="47"/>
      <c r="CD78" s="57"/>
      <c r="CE78" s="47"/>
      <c r="CF78" s="47">
        <f t="shared" si="45"/>
        <v>1397.9560399999998</v>
      </c>
    </row>
    <row r="79" spans="1:84" ht="14.25" customHeight="1">
      <c r="A79" s="47">
        <v>72</v>
      </c>
      <c r="B79" s="47" t="s">
        <v>129</v>
      </c>
      <c r="C79" s="48">
        <v>315001</v>
      </c>
      <c r="D79" s="60" t="s">
        <v>206</v>
      </c>
      <c r="E79" s="60" t="s">
        <v>131</v>
      </c>
      <c r="F79" s="50">
        <f t="shared" si="46"/>
        <v>121</v>
      </c>
      <c r="G79" s="50">
        <v>43</v>
      </c>
      <c r="H79" s="50">
        <v>5</v>
      </c>
      <c r="I79" s="50">
        <v>73</v>
      </c>
      <c r="J79" s="50"/>
      <c r="K79" s="50"/>
      <c r="L79" s="50"/>
      <c r="M79" s="50"/>
      <c r="N79" s="50">
        <v>39</v>
      </c>
      <c r="O79" s="50">
        <f t="shared" si="47"/>
        <v>160</v>
      </c>
      <c r="P79" s="51">
        <f t="shared" si="34"/>
        <v>1590.1004999999998</v>
      </c>
      <c r="Q79" s="51">
        <f t="shared" si="35"/>
        <v>1385.9784999999999</v>
      </c>
      <c r="R79" s="47">
        <f t="shared" si="48"/>
        <v>367178</v>
      </c>
      <c r="S79" s="61">
        <v>134740</v>
      </c>
      <c r="T79" s="62">
        <v>232438</v>
      </c>
      <c r="U79" s="47">
        <f t="shared" si="49"/>
        <v>440.61360000000002</v>
      </c>
      <c r="V79" s="51">
        <f t="shared" si="2"/>
        <v>203.42400000000001</v>
      </c>
      <c r="W79" s="47">
        <f t="shared" si="50"/>
        <v>108</v>
      </c>
      <c r="X79" s="66">
        <v>95.424000000000007</v>
      </c>
      <c r="Y79" s="47"/>
      <c r="Z79" s="47"/>
      <c r="AA79" s="47"/>
      <c r="AB79" s="51">
        <f t="shared" si="51"/>
        <v>221.7928</v>
      </c>
      <c r="AC79" s="47">
        <f t="shared" si="52"/>
        <v>13.474</v>
      </c>
      <c r="AD79" s="66">
        <v>29.546399999999998</v>
      </c>
      <c r="AE79" s="47"/>
      <c r="AF79" s="47">
        <f t="shared" si="53"/>
        <v>178.7724</v>
      </c>
      <c r="AG79" s="64">
        <v>148977</v>
      </c>
      <c r="AH79" s="47"/>
      <c r="AI79" s="47">
        <f t="shared" si="54"/>
        <v>189.07</v>
      </c>
      <c r="AJ79" s="53">
        <f t="shared" si="55"/>
        <v>148.78880000000001</v>
      </c>
      <c r="AK79" s="53">
        <f t="shared" si="56"/>
        <v>1487888</v>
      </c>
      <c r="AL79" s="47"/>
      <c r="AM79" s="47">
        <f t="shared" si="36"/>
        <v>62.995600000000003</v>
      </c>
      <c r="AN79" s="47">
        <f t="shared" si="37"/>
        <v>59.307200000000002</v>
      </c>
      <c r="AO79" s="47">
        <f t="shared" si="57"/>
        <v>593072</v>
      </c>
      <c r="AP79" s="47">
        <f t="shared" si="38"/>
        <v>3.6884000000000001</v>
      </c>
      <c r="AQ79" s="47">
        <f t="shared" si="58"/>
        <v>36884</v>
      </c>
      <c r="AR79" s="47"/>
      <c r="AS79" s="47">
        <f t="shared" si="59"/>
        <v>7.7020999999999997</v>
      </c>
      <c r="AT79" s="47">
        <f t="shared" si="39"/>
        <v>4.4260999999999999</v>
      </c>
      <c r="AU79" s="47">
        <f t="shared" si="60"/>
        <v>44261</v>
      </c>
      <c r="AV79" s="47">
        <f t="shared" si="40"/>
        <v>3.2759999999999998</v>
      </c>
      <c r="AW79" s="47">
        <f t="shared" si="61"/>
        <v>32759.999999999996</v>
      </c>
      <c r="AX79" s="47">
        <f t="shared" si="41"/>
        <v>111.5916</v>
      </c>
      <c r="AY79" s="47"/>
      <c r="AZ79" s="47"/>
      <c r="BA79" s="54">
        <v>1E-4</v>
      </c>
      <c r="BB79" s="65" t="s">
        <v>206</v>
      </c>
      <c r="BC79" s="51">
        <f t="shared" si="62"/>
        <v>195.608</v>
      </c>
      <c r="BD79" s="47">
        <f t="shared" si="33"/>
        <v>127.67999999999999</v>
      </c>
      <c r="BE79" s="47">
        <f t="shared" si="63"/>
        <v>32.927999999999997</v>
      </c>
      <c r="BF79" s="47">
        <v>27440</v>
      </c>
      <c r="BG79" s="56"/>
      <c r="BH79" s="47">
        <v>35</v>
      </c>
      <c r="BI79" s="51">
        <f t="shared" si="42"/>
        <v>8.5139999999999993</v>
      </c>
      <c r="BJ79" s="51">
        <f t="shared" si="43"/>
        <v>0</v>
      </c>
      <c r="BK79" s="47"/>
      <c r="BL79" s="47"/>
      <c r="BM79" s="47"/>
      <c r="BN79" s="47"/>
      <c r="BO79" s="47"/>
      <c r="BP79" s="66">
        <v>8.5139999999999993</v>
      </c>
      <c r="BQ79" s="47"/>
      <c r="BR79" s="47"/>
      <c r="BS79" s="53"/>
      <c r="BT79" s="47"/>
      <c r="BU79" s="47"/>
      <c r="BV79" s="47"/>
      <c r="BW79" s="47"/>
      <c r="BX79" s="47"/>
      <c r="BY79" s="47"/>
      <c r="BZ79" s="47"/>
      <c r="CA79" s="47"/>
      <c r="CB79" s="54">
        <f t="shared" si="44"/>
        <v>1590.1004999999998</v>
      </c>
      <c r="CC79" s="47"/>
      <c r="CD79" s="57"/>
      <c r="CE79" s="47"/>
      <c r="CF79" s="47">
        <f t="shared" si="45"/>
        <v>1590.1004999999998</v>
      </c>
    </row>
    <row r="80" spans="1:84" ht="14.25" customHeight="1">
      <c r="A80" s="47">
        <v>73</v>
      </c>
      <c r="B80" s="47" t="s">
        <v>129</v>
      </c>
      <c r="C80" s="48">
        <v>401001</v>
      </c>
      <c r="D80" s="49" t="s">
        <v>207</v>
      </c>
      <c r="E80" s="60" t="s">
        <v>131</v>
      </c>
      <c r="F80" s="50">
        <f t="shared" si="46"/>
        <v>37</v>
      </c>
      <c r="G80" s="50">
        <v>28</v>
      </c>
      <c r="H80" s="50"/>
      <c r="I80" s="50">
        <v>8</v>
      </c>
      <c r="J80" s="50">
        <v>1</v>
      </c>
      <c r="K80" s="50"/>
      <c r="L80" s="50"/>
      <c r="M80" s="50"/>
      <c r="N80" s="50">
        <v>29</v>
      </c>
      <c r="O80" s="50">
        <f t="shared" si="47"/>
        <v>66</v>
      </c>
      <c r="P80" s="51">
        <f t="shared" si="34"/>
        <v>1022.2045000000001</v>
      </c>
      <c r="Q80" s="51">
        <f t="shared" si="35"/>
        <v>448.97829999999999</v>
      </c>
      <c r="R80" s="47">
        <f t="shared" si="48"/>
        <v>142029</v>
      </c>
      <c r="S80" s="58">
        <v>115972</v>
      </c>
      <c r="T80" s="51">
        <v>26057</v>
      </c>
      <c r="U80" s="47">
        <f t="shared" si="49"/>
        <v>170.4348</v>
      </c>
      <c r="V80" s="51">
        <f t="shared" si="2"/>
        <v>63.388800000000003</v>
      </c>
      <c r="W80" s="47">
        <f t="shared" si="50"/>
        <v>63</v>
      </c>
      <c r="X80" s="47"/>
      <c r="Y80" s="47"/>
      <c r="Z80" s="47"/>
      <c r="AA80" s="47">
        <v>0.38879999999999998</v>
      </c>
      <c r="AB80" s="51">
        <f t="shared" si="51"/>
        <v>74.994399999999999</v>
      </c>
      <c r="AC80" s="47">
        <f t="shared" si="52"/>
        <v>11.597200000000001</v>
      </c>
      <c r="AD80" s="47"/>
      <c r="AE80" s="47"/>
      <c r="AF80" s="47">
        <f t="shared" si="53"/>
        <v>63.397199999999998</v>
      </c>
      <c r="AG80" s="47">
        <v>52831</v>
      </c>
      <c r="AH80" s="47"/>
      <c r="AI80" s="47">
        <f t="shared" si="54"/>
        <v>23.31</v>
      </c>
      <c r="AJ80" s="53">
        <f t="shared" si="55"/>
        <v>53.078299999999999</v>
      </c>
      <c r="AK80" s="53">
        <f t="shared" si="56"/>
        <v>530783</v>
      </c>
      <c r="AL80" s="47"/>
      <c r="AM80" s="47">
        <f t="shared" si="36"/>
        <v>22.040800000000001</v>
      </c>
      <c r="AN80" s="47">
        <f t="shared" si="37"/>
        <v>20.757100000000001</v>
      </c>
      <c r="AO80" s="47">
        <f t="shared" si="57"/>
        <v>207571</v>
      </c>
      <c r="AP80" s="47">
        <f t="shared" si="38"/>
        <v>1.2837000000000001</v>
      </c>
      <c r="AQ80" s="47">
        <f t="shared" si="58"/>
        <v>12837</v>
      </c>
      <c r="AR80" s="47"/>
      <c r="AS80" s="47">
        <f t="shared" si="59"/>
        <v>1.9225000000000001</v>
      </c>
      <c r="AT80" s="47">
        <f t="shared" si="39"/>
        <v>1.5405</v>
      </c>
      <c r="AU80" s="47">
        <f t="shared" si="60"/>
        <v>15405</v>
      </c>
      <c r="AV80" s="47">
        <f t="shared" si="40"/>
        <v>0.38200000000000001</v>
      </c>
      <c r="AW80" s="47">
        <f t="shared" si="61"/>
        <v>3820</v>
      </c>
      <c r="AX80" s="47">
        <f t="shared" si="41"/>
        <v>39.808700000000002</v>
      </c>
      <c r="AY80" s="47"/>
      <c r="AZ80" s="47"/>
      <c r="BA80" s="54">
        <v>1E-4</v>
      </c>
      <c r="BB80" s="55" t="s">
        <v>207</v>
      </c>
      <c r="BC80" s="51">
        <f t="shared" si="62"/>
        <v>344.404</v>
      </c>
      <c r="BD80" s="47">
        <f t="shared" si="33"/>
        <v>42.24</v>
      </c>
      <c r="BE80" s="47">
        <f t="shared" si="63"/>
        <v>22.164000000000001</v>
      </c>
      <c r="BF80" s="47">
        <v>18470</v>
      </c>
      <c r="BG80" s="56">
        <v>280</v>
      </c>
      <c r="BH80" s="47"/>
      <c r="BI80" s="51">
        <f t="shared" si="42"/>
        <v>228.82220000000001</v>
      </c>
      <c r="BJ80" s="51">
        <f t="shared" si="43"/>
        <v>0</v>
      </c>
      <c r="BK80" s="47"/>
      <c r="BL80" s="47"/>
      <c r="BM80" s="47"/>
      <c r="BN80" s="47"/>
      <c r="BO80" s="47"/>
      <c r="BP80" s="68">
        <v>3.3119999999999998</v>
      </c>
      <c r="BQ80" s="47"/>
      <c r="BR80" s="47"/>
      <c r="BS80" s="53"/>
      <c r="BT80" s="47"/>
      <c r="BU80" s="47"/>
      <c r="BV80" s="47"/>
      <c r="BW80" s="68">
        <v>225.5102</v>
      </c>
      <c r="BX80" s="47">
        <v>213</v>
      </c>
      <c r="BY80" s="47"/>
      <c r="BZ80" s="47">
        <v>1773.5</v>
      </c>
      <c r="CA80" s="47"/>
      <c r="CB80" s="54">
        <f t="shared" si="44"/>
        <v>3008.7044999999998</v>
      </c>
      <c r="CC80" s="47"/>
      <c r="CD80" s="57"/>
      <c r="CE80" s="47"/>
      <c r="CF80" s="47">
        <f t="shared" si="45"/>
        <v>3008.7044999999998</v>
      </c>
    </row>
    <row r="81" spans="1:84" ht="14.25" customHeight="1">
      <c r="A81" s="47">
        <v>74</v>
      </c>
      <c r="B81" s="47" t="s">
        <v>129</v>
      </c>
      <c r="C81" s="48">
        <v>411001</v>
      </c>
      <c r="D81" s="49" t="s">
        <v>208</v>
      </c>
      <c r="E81" s="49" t="s">
        <v>141</v>
      </c>
      <c r="F81" s="50">
        <f t="shared" si="46"/>
        <v>10</v>
      </c>
      <c r="G81" s="50">
        <v>10</v>
      </c>
      <c r="H81" s="50"/>
      <c r="I81" s="50"/>
      <c r="J81" s="50"/>
      <c r="K81" s="50"/>
      <c r="L81" s="50"/>
      <c r="M81" s="50"/>
      <c r="N81" s="50">
        <v>1</v>
      </c>
      <c r="O81" s="50">
        <f t="shared" si="47"/>
        <v>11</v>
      </c>
      <c r="P81" s="51">
        <f t="shared" si="34"/>
        <v>196.54480000000001</v>
      </c>
      <c r="Q81" s="51">
        <f t="shared" si="35"/>
        <v>105.9448</v>
      </c>
      <c r="R81" s="47">
        <f t="shared" si="48"/>
        <v>31067</v>
      </c>
      <c r="S81" s="58">
        <v>31067</v>
      </c>
      <c r="T81" s="51"/>
      <c r="U81" s="47">
        <f t="shared" si="49"/>
        <v>37.2804</v>
      </c>
      <c r="V81" s="51">
        <f t="shared" si="2"/>
        <v>22.5</v>
      </c>
      <c r="W81" s="47">
        <f t="shared" si="50"/>
        <v>22.5</v>
      </c>
      <c r="X81" s="47"/>
      <c r="Y81" s="47"/>
      <c r="Z81" s="47"/>
      <c r="AA81" s="47"/>
      <c r="AB81" s="51">
        <f t="shared" si="51"/>
        <v>18.7331</v>
      </c>
      <c r="AC81" s="47">
        <f t="shared" si="52"/>
        <v>3.1067</v>
      </c>
      <c r="AD81" s="47"/>
      <c r="AE81" s="47"/>
      <c r="AF81" s="47">
        <f t="shared" si="53"/>
        <v>15.6264</v>
      </c>
      <c r="AG81" s="47">
        <v>13022</v>
      </c>
      <c r="AH81" s="47"/>
      <c r="AI81" s="47">
        <f t="shared" si="54"/>
        <v>0</v>
      </c>
      <c r="AJ81" s="53">
        <f t="shared" si="55"/>
        <v>12.562200000000001</v>
      </c>
      <c r="AK81" s="53">
        <f t="shared" si="56"/>
        <v>125622</v>
      </c>
      <c r="AL81" s="47"/>
      <c r="AM81" s="47">
        <f t="shared" si="36"/>
        <v>5.0888</v>
      </c>
      <c r="AN81" s="47">
        <f t="shared" si="37"/>
        <v>4.7899000000000003</v>
      </c>
      <c r="AO81" s="47">
        <f t="shared" si="57"/>
        <v>47899</v>
      </c>
      <c r="AP81" s="47">
        <f t="shared" si="38"/>
        <v>0.2989</v>
      </c>
      <c r="AQ81" s="47">
        <f t="shared" si="58"/>
        <v>2989</v>
      </c>
      <c r="AR81" s="47"/>
      <c r="AS81" s="47">
        <f t="shared" si="59"/>
        <v>0.35870000000000002</v>
      </c>
      <c r="AT81" s="47">
        <f t="shared" si="39"/>
        <v>0.35870000000000002</v>
      </c>
      <c r="AU81" s="47">
        <f t="shared" si="60"/>
        <v>3587</v>
      </c>
      <c r="AV81" s="47">
        <f t="shared" si="40"/>
        <v>0</v>
      </c>
      <c r="AW81" s="47">
        <f t="shared" si="61"/>
        <v>0</v>
      </c>
      <c r="AX81" s="47">
        <f t="shared" si="41"/>
        <v>9.4215999999999998</v>
      </c>
      <c r="AY81" s="47"/>
      <c r="AZ81" s="47"/>
      <c r="BA81" s="54">
        <v>1E-4</v>
      </c>
      <c r="BB81" s="55" t="s">
        <v>208</v>
      </c>
      <c r="BC81" s="51">
        <f t="shared" si="62"/>
        <v>90.6</v>
      </c>
      <c r="BD81" s="47">
        <f t="shared" si="33"/>
        <v>12</v>
      </c>
      <c r="BE81" s="47">
        <f t="shared" si="63"/>
        <v>6.6</v>
      </c>
      <c r="BF81" s="47">
        <v>5500</v>
      </c>
      <c r="BG81" s="56">
        <v>72</v>
      </c>
      <c r="BH81" s="47"/>
      <c r="BI81" s="51">
        <f t="shared" si="42"/>
        <v>0</v>
      </c>
      <c r="BJ81" s="51">
        <f t="shared" si="43"/>
        <v>0</v>
      </c>
      <c r="BK81" s="47"/>
      <c r="BL81" s="47"/>
      <c r="BM81" s="47"/>
      <c r="BN81" s="47"/>
      <c r="BO81" s="47"/>
      <c r="BP81" s="47"/>
      <c r="BQ81" s="47"/>
      <c r="BR81" s="47"/>
      <c r="BS81" s="53"/>
      <c r="BT81" s="47"/>
      <c r="BU81" s="47"/>
      <c r="BV81" s="47"/>
      <c r="BW81" s="47"/>
      <c r="BX81" s="47"/>
      <c r="BY81" s="47"/>
      <c r="BZ81" s="47"/>
      <c r="CA81" s="47"/>
      <c r="CB81" s="54">
        <f t="shared" si="44"/>
        <v>196.54480000000001</v>
      </c>
      <c r="CC81" s="47"/>
      <c r="CD81" s="57"/>
      <c r="CE81" s="47"/>
      <c r="CF81" s="47">
        <f t="shared" si="45"/>
        <v>196.54480000000001</v>
      </c>
    </row>
    <row r="82" spans="1:84" ht="14.25" customHeight="1">
      <c r="A82" s="47">
        <v>75</v>
      </c>
      <c r="B82" s="47" t="s">
        <v>129</v>
      </c>
      <c r="C82" s="48">
        <v>413001</v>
      </c>
      <c r="D82" s="49" t="s">
        <v>209</v>
      </c>
      <c r="E82" s="49" t="s">
        <v>141</v>
      </c>
      <c r="F82" s="50">
        <f t="shared" si="46"/>
        <v>17</v>
      </c>
      <c r="G82" s="50">
        <v>3</v>
      </c>
      <c r="H82" s="50"/>
      <c r="I82" s="50">
        <v>14</v>
      </c>
      <c r="J82" s="50"/>
      <c r="K82" s="50"/>
      <c r="L82" s="50"/>
      <c r="M82" s="50"/>
      <c r="N82" s="50">
        <v>6</v>
      </c>
      <c r="O82" s="50">
        <f t="shared" si="47"/>
        <v>23</v>
      </c>
      <c r="P82" s="51">
        <f t="shared" si="34"/>
        <v>330.22190000000001</v>
      </c>
      <c r="Q82" s="51">
        <f t="shared" si="35"/>
        <v>178.68190000000001</v>
      </c>
      <c r="R82" s="47">
        <f t="shared" si="48"/>
        <v>51859</v>
      </c>
      <c r="S82" s="58">
        <v>10448</v>
      </c>
      <c r="T82" s="51">
        <v>41411</v>
      </c>
      <c r="U82" s="47">
        <f t="shared" si="49"/>
        <v>62.230800000000002</v>
      </c>
      <c r="V82" s="51">
        <f t="shared" si="2"/>
        <v>6.75</v>
      </c>
      <c r="W82" s="47">
        <f t="shared" si="50"/>
        <v>6.75</v>
      </c>
      <c r="X82" s="47"/>
      <c r="Y82" s="47"/>
      <c r="Z82" s="47"/>
      <c r="AA82" s="47"/>
      <c r="AB82" s="51">
        <f t="shared" si="51"/>
        <v>26.367199999999997</v>
      </c>
      <c r="AC82" s="47">
        <f t="shared" si="52"/>
        <v>1.0448</v>
      </c>
      <c r="AD82" s="47"/>
      <c r="AE82" s="47"/>
      <c r="AF82" s="47">
        <f t="shared" si="53"/>
        <v>25.322399999999998</v>
      </c>
      <c r="AG82" s="47">
        <v>21102</v>
      </c>
      <c r="AH82" s="47"/>
      <c r="AI82" s="47">
        <f t="shared" si="54"/>
        <v>36.26</v>
      </c>
      <c r="AJ82" s="53">
        <f t="shared" si="55"/>
        <v>21.057300000000001</v>
      </c>
      <c r="AK82" s="53">
        <f t="shared" si="56"/>
        <v>210573.00000000003</v>
      </c>
      <c r="AL82" s="47"/>
      <c r="AM82" s="47">
        <f t="shared" si="36"/>
        <v>8.9905000000000008</v>
      </c>
      <c r="AN82" s="47">
        <f t="shared" si="37"/>
        <v>8.4642999999999997</v>
      </c>
      <c r="AO82" s="47">
        <f t="shared" si="57"/>
        <v>84643</v>
      </c>
      <c r="AP82" s="47">
        <f t="shared" si="38"/>
        <v>0.5262</v>
      </c>
      <c r="AQ82" s="47">
        <f t="shared" si="58"/>
        <v>5262</v>
      </c>
      <c r="AR82" s="47"/>
      <c r="AS82" s="47">
        <f t="shared" si="59"/>
        <v>1.2331000000000001</v>
      </c>
      <c r="AT82" s="47">
        <f t="shared" si="39"/>
        <v>0.63139999999999996</v>
      </c>
      <c r="AU82" s="47">
        <f t="shared" si="60"/>
        <v>6314</v>
      </c>
      <c r="AV82" s="47">
        <f t="shared" si="40"/>
        <v>0.60170000000000001</v>
      </c>
      <c r="AW82" s="47">
        <f t="shared" si="61"/>
        <v>6017</v>
      </c>
      <c r="AX82" s="47">
        <f t="shared" si="41"/>
        <v>15.792999999999999</v>
      </c>
      <c r="AY82" s="47"/>
      <c r="AZ82" s="47"/>
      <c r="BA82" s="54">
        <v>1E-4</v>
      </c>
      <c r="BB82" s="55" t="s">
        <v>209</v>
      </c>
      <c r="BC82" s="51">
        <f t="shared" si="62"/>
        <v>124.53999999999999</v>
      </c>
      <c r="BD82" s="47">
        <f t="shared" si="33"/>
        <v>17.04</v>
      </c>
      <c r="BE82" s="47">
        <f t="shared" si="63"/>
        <v>10.5</v>
      </c>
      <c r="BF82" s="47">
        <v>8750</v>
      </c>
      <c r="BG82" s="56">
        <v>97</v>
      </c>
      <c r="BH82" s="47"/>
      <c r="BI82" s="51">
        <f t="shared" si="42"/>
        <v>27</v>
      </c>
      <c r="BJ82" s="51">
        <f t="shared" si="43"/>
        <v>0</v>
      </c>
      <c r="BK82" s="47"/>
      <c r="BL82" s="47"/>
      <c r="BM82" s="47"/>
      <c r="BN82" s="47"/>
      <c r="BO82" s="47"/>
      <c r="BP82" s="47"/>
      <c r="BQ82" s="47"/>
      <c r="BR82" s="47"/>
      <c r="BS82" s="53"/>
      <c r="BT82" s="47"/>
      <c r="BU82" s="47"/>
      <c r="BV82" s="47"/>
      <c r="BW82" s="47">
        <v>27</v>
      </c>
      <c r="BX82" s="47"/>
      <c r="BY82" s="47"/>
      <c r="BZ82" s="47"/>
      <c r="CA82" s="47"/>
      <c r="CB82" s="54">
        <f t="shared" si="44"/>
        <v>330.22190000000001</v>
      </c>
      <c r="CC82" s="47"/>
      <c r="CD82" s="57"/>
      <c r="CE82" s="47"/>
      <c r="CF82" s="47">
        <f t="shared" si="45"/>
        <v>330.22190000000001</v>
      </c>
    </row>
    <row r="83" spans="1:84" ht="14.25" customHeight="1">
      <c r="A83" s="47">
        <v>76</v>
      </c>
      <c r="B83" s="47" t="s">
        <v>129</v>
      </c>
      <c r="C83" s="48">
        <v>412001</v>
      </c>
      <c r="D83" s="49" t="s">
        <v>210</v>
      </c>
      <c r="E83" s="49" t="s">
        <v>141</v>
      </c>
      <c r="F83" s="50">
        <f t="shared" si="46"/>
        <v>44</v>
      </c>
      <c r="G83" s="50">
        <v>33</v>
      </c>
      <c r="H83" s="50"/>
      <c r="I83" s="50">
        <v>11</v>
      </c>
      <c r="J83" s="50"/>
      <c r="K83" s="50"/>
      <c r="L83" s="50"/>
      <c r="M83" s="50"/>
      <c r="N83" s="50">
        <v>21</v>
      </c>
      <c r="O83" s="50">
        <f t="shared" si="47"/>
        <v>65</v>
      </c>
      <c r="P83" s="51">
        <f t="shared" si="34"/>
        <v>784.86479999999995</v>
      </c>
      <c r="Q83" s="51">
        <f t="shared" si="35"/>
        <v>462.96879999999999</v>
      </c>
      <c r="R83" s="47">
        <f t="shared" si="48"/>
        <v>137038</v>
      </c>
      <c r="S83" s="58">
        <v>104735</v>
      </c>
      <c r="T83" s="51">
        <v>32303</v>
      </c>
      <c r="U83" s="47">
        <f t="shared" si="49"/>
        <v>164.44560000000001</v>
      </c>
      <c r="V83" s="51">
        <f t="shared" si="2"/>
        <v>74.25</v>
      </c>
      <c r="W83" s="47">
        <f t="shared" si="50"/>
        <v>74.25</v>
      </c>
      <c r="X83" s="47"/>
      <c r="Y83" s="47"/>
      <c r="Z83" s="47"/>
      <c r="AA83" s="47"/>
      <c r="AB83" s="51">
        <f t="shared" si="51"/>
        <v>75.0227</v>
      </c>
      <c r="AC83" s="47">
        <f t="shared" si="52"/>
        <v>10.4735</v>
      </c>
      <c r="AD83" s="47"/>
      <c r="AE83" s="47"/>
      <c r="AF83" s="47">
        <f t="shared" si="53"/>
        <v>64.549199999999999</v>
      </c>
      <c r="AG83" s="47">
        <f>13382+21209+19200</f>
        <v>53791</v>
      </c>
      <c r="AH83" s="47"/>
      <c r="AI83" s="47">
        <f t="shared" si="54"/>
        <v>28.49</v>
      </c>
      <c r="AJ83" s="53">
        <f t="shared" si="55"/>
        <v>54.753300000000003</v>
      </c>
      <c r="AK83" s="53">
        <f t="shared" si="56"/>
        <v>547533</v>
      </c>
      <c r="AL83" s="47"/>
      <c r="AM83" s="47">
        <f t="shared" si="36"/>
        <v>22.868300000000001</v>
      </c>
      <c r="AN83" s="47">
        <f t="shared" si="37"/>
        <v>21.532299999999999</v>
      </c>
      <c r="AO83" s="47">
        <f t="shared" si="57"/>
        <v>215323</v>
      </c>
      <c r="AP83" s="47">
        <f t="shared" si="38"/>
        <v>1.3359000000000001</v>
      </c>
      <c r="AQ83" s="47">
        <f t="shared" si="58"/>
        <v>13359</v>
      </c>
      <c r="AR83" s="47"/>
      <c r="AS83" s="47">
        <f t="shared" si="59"/>
        <v>2.0739000000000001</v>
      </c>
      <c r="AT83" s="47">
        <f t="shared" si="39"/>
        <v>1.6031</v>
      </c>
      <c r="AU83" s="47">
        <f t="shared" si="60"/>
        <v>16031</v>
      </c>
      <c r="AV83" s="47">
        <f t="shared" si="40"/>
        <v>0.4708</v>
      </c>
      <c r="AW83" s="47">
        <f t="shared" si="61"/>
        <v>4708</v>
      </c>
      <c r="AX83" s="47">
        <f t="shared" si="41"/>
        <v>41.064999999999998</v>
      </c>
      <c r="AY83" s="47"/>
      <c r="AZ83" s="47"/>
      <c r="BA83" s="54">
        <v>1E-4</v>
      </c>
      <c r="BB83" s="55" t="s">
        <v>210</v>
      </c>
      <c r="BC83" s="51">
        <f t="shared" si="62"/>
        <v>247.44799999999998</v>
      </c>
      <c r="BD83" s="47">
        <f t="shared" si="33"/>
        <v>50.16</v>
      </c>
      <c r="BE83" s="47">
        <f t="shared" si="63"/>
        <v>21.288</v>
      </c>
      <c r="BF83" s="47">
        <f>5650+9340+2750</f>
        <v>17740</v>
      </c>
      <c r="BG83" s="56">
        <v>176</v>
      </c>
      <c r="BH83" s="47"/>
      <c r="BI83" s="51">
        <f t="shared" si="42"/>
        <v>74.447999999999993</v>
      </c>
      <c r="BJ83" s="51">
        <f t="shared" si="43"/>
        <v>0</v>
      </c>
      <c r="BK83" s="47"/>
      <c r="BL83" s="47"/>
      <c r="BM83" s="47"/>
      <c r="BN83" s="47"/>
      <c r="BO83" s="47"/>
      <c r="BP83" s="47"/>
      <c r="BQ83" s="47"/>
      <c r="BR83" s="47"/>
      <c r="BS83" s="53"/>
      <c r="BT83" s="47"/>
      <c r="BU83" s="47"/>
      <c r="BV83" s="47"/>
      <c r="BW83" s="47">
        <v>74.447999999999993</v>
      </c>
      <c r="BX83" s="47"/>
      <c r="BY83" s="47"/>
      <c r="BZ83" s="47">
        <v>15773.6</v>
      </c>
      <c r="CA83" s="47"/>
      <c r="CB83" s="54">
        <f t="shared" si="44"/>
        <v>16558.464800000002</v>
      </c>
      <c r="CC83" s="47"/>
      <c r="CD83" s="57"/>
      <c r="CE83" s="47"/>
      <c r="CF83" s="47">
        <f t="shared" si="45"/>
        <v>16558.464800000002</v>
      </c>
    </row>
    <row r="84" spans="1:84" ht="14.25" customHeight="1">
      <c r="A84" s="47">
        <v>77</v>
      </c>
      <c r="B84" s="47" t="s">
        <v>129</v>
      </c>
      <c r="C84" s="48">
        <v>416001</v>
      </c>
      <c r="D84" s="49" t="s">
        <v>211</v>
      </c>
      <c r="E84" s="49" t="s">
        <v>141</v>
      </c>
      <c r="F84" s="50">
        <f t="shared" si="46"/>
        <v>16</v>
      </c>
      <c r="G84" s="50">
        <v>7</v>
      </c>
      <c r="H84" s="50"/>
      <c r="I84" s="50">
        <v>9</v>
      </c>
      <c r="J84" s="50"/>
      <c r="K84" s="50"/>
      <c r="L84" s="50"/>
      <c r="M84" s="50"/>
      <c r="N84" s="50">
        <v>3</v>
      </c>
      <c r="O84" s="50">
        <f t="shared" si="47"/>
        <v>19</v>
      </c>
      <c r="P84" s="51">
        <f t="shared" si="34"/>
        <v>282.08710000000002</v>
      </c>
      <c r="Q84" s="51">
        <f t="shared" si="35"/>
        <v>176.68710000000002</v>
      </c>
      <c r="R84" s="47">
        <f t="shared" si="48"/>
        <v>54056</v>
      </c>
      <c r="S84" s="58">
        <v>23464</v>
      </c>
      <c r="T84" s="51">
        <v>30592</v>
      </c>
      <c r="U84" s="47">
        <f t="shared" si="49"/>
        <v>64.867199999999997</v>
      </c>
      <c r="V84" s="51">
        <f t="shared" si="2"/>
        <v>15.75</v>
      </c>
      <c r="W84" s="47">
        <f t="shared" si="50"/>
        <v>15.75</v>
      </c>
      <c r="X84" s="47"/>
      <c r="Y84" s="47"/>
      <c r="Z84" s="47"/>
      <c r="AA84" s="47"/>
      <c r="AB84" s="51">
        <f t="shared" si="51"/>
        <v>26.3752</v>
      </c>
      <c r="AC84" s="47">
        <f t="shared" si="52"/>
        <v>2.3464</v>
      </c>
      <c r="AD84" s="47"/>
      <c r="AE84" s="47"/>
      <c r="AF84" s="47">
        <f t="shared" si="53"/>
        <v>24.0288</v>
      </c>
      <c r="AG84" s="47">
        <v>20024</v>
      </c>
      <c r="AH84" s="47"/>
      <c r="AI84" s="47">
        <f t="shared" si="54"/>
        <v>23.31</v>
      </c>
      <c r="AJ84" s="53">
        <f t="shared" si="55"/>
        <v>20.848400000000002</v>
      </c>
      <c r="AK84" s="53">
        <f t="shared" si="56"/>
        <v>208484.00000000003</v>
      </c>
      <c r="AL84" s="47"/>
      <c r="AM84" s="47">
        <f t="shared" si="36"/>
        <v>8.8562999999999992</v>
      </c>
      <c r="AN84" s="47">
        <f t="shared" si="37"/>
        <v>8.3367000000000004</v>
      </c>
      <c r="AO84" s="47">
        <f t="shared" si="57"/>
        <v>83367</v>
      </c>
      <c r="AP84" s="47">
        <f t="shared" si="38"/>
        <v>0.51959999999999995</v>
      </c>
      <c r="AQ84" s="47">
        <f t="shared" si="58"/>
        <v>5195.9999999999991</v>
      </c>
      <c r="AR84" s="47"/>
      <c r="AS84" s="47">
        <f t="shared" si="59"/>
        <v>1.0437000000000001</v>
      </c>
      <c r="AT84" s="47">
        <f t="shared" si="39"/>
        <v>0.62360000000000004</v>
      </c>
      <c r="AU84" s="47">
        <f t="shared" si="60"/>
        <v>6236</v>
      </c>
      <c r="AV84" s="47">
        <f t="shared" si="40"/>
        <v>0.42009999999999997</v>
      </c>
      <c r="AW84" s="47">
        <f t="shared" si="61"/>
        <v>4201</v>
      </c>
      <c r="AX84" s="47">
        <f t="shared" si="41"/>
        <v>15.6363</v>
      </c>
      <c r="AY84" s="47"/>
      <c r="AZ84" s="47"/>
      <c r="BA84" s="54">
        <v>1E-4</v>
      </c>
      <c r="BB84" s="55" t="s">
        <v>211</v>
      </c>
      <c r="BC84" s="51">
        <f t="shared" si="62"/>
        <v>105.39999999999999</v>
      </c>
      <c r="BD84" s="47">
        <f t="shared" si="33"/>
        <v>17.04</v>
      </c>
      <c r="BE84" s="47">
        <f t="shared" si="63"/>
        <v>4.5599999999999996</v>
      </c>
      <c r="BF84" s="47">
        <v>3800</v>
      </c>
      <c r="BG84" s="56">
        <v>83</v>
      </c>
      <c r="BH84" s="47">
        <v>0.8</v>
      </c>
      <c r="BI84" s="51">
        <f t="shared" si="42"/>
        <v>0</v>
      </c>
      <c r="BJ84" s="51">
        <f t="shared" si="43"/>
        <v>0</v>
      </c>
      <c r="BK84" s="47"/>
      <c r="BL84" s="47"/>
      <c r="BM84" s="47"/>
      <c r="BN84" s="47"/>
      <c r="BO84" s="47"/>
      <c r="BP84" s="47"/>
      <c r="BQ84" s="47"/>
      <c r="BR84" s="47"/>
      <c r="BS84" s="53"/>
      <c r="BT84" s="47"/>
      <c r="BU84" s="47"/>
      <c r="BV84" s="47"/>
      <c r="BW84" s="47"/>
      <c r="BX84" s="47"/>
      <c r="BY84" s="47"/>
      <c r="BZ84" s="47"/>
      <c r="CA84" s="47"/>
      <c r="CB84" s="54">
        <f t="shared" si="44"/>
        <v>282.08710000000002</v>
      </c>
      <c r="CC84" s="47"/>
      <c r="CD84" s="57"/>
      <c r="CE84" s="47"/>
      <c r="CF84" s="47">
        <f t="shared" si="45"/>
        <v>282.08710000000002</v>
      </c>
    </row>
    <row r="85" spans="1:84" ht="14.25" customHeight="1">
      <c r="A85" s="47">
        <v>78</v>
      </c>
      <c r="B85" s="47" t="s">
        <v>129</v>
      </c>
      <c r="C85" s="48">
        <v>410001</v>
      </c>
      <c r="D85" s="49" t="s">
        <v>212</v>
      </c>
      <c r="E85" s="49" t="s">
        <v>150</v>
      </c>
      <c r="F85" s="50">
        <f t="shared" si="46"/>
        <v>5</v>
      </c>
      <c r="G85" s="50"/>
      <c r="H85" s="50"/>
      <c r="I85" s="50">
        <v>5</v>
      </c>
      <c r="J85" s="50"/>
      <c r="K85" s="50"/>
      <c r="L85" s="50"/>
      <c r="M85" s="50"/>
      <c r="N85" s="50"/>
      <c r="O85" s="50">
        <f t="shared" si="47"/>
        <v>5</v>
      </c>
      <c r="P85" s="51">
        <f t="shared" si="34"/>
        <v>99.245199999999983</v>
      </c>
      <c r="Q85" s="51">
        <f t="shared" si="35"/>
        <v>54.585199999999993</v>
      </c>
      <c r="R85" s="47">
        <f t="shared" si="48"/>
        <v>16645</v>
      </c>
      <c r="S85" s="58"/>
      <c r="T85" s="51">
        <v>16645</v>
      </c>
      <c r="U85" s="47">
        <f t="shared" si="49"/>
        <v>19.974</v>
      </c>
      <c r="V85" s="51">
        <f t="shared" si="2"/>
        <v>0</v>
      </c>
      <c r="W85" s="47">
        <f t="shared" si="50"/>
        <v>0</v>
      </c>
      <c r="X85" s="47"/>
      <c r="Y85" s="47"/>
      <c r="Z85" s="47"/>
      <c r="AA85" s="47"/>
      <c r="AB85" s="51">
        <f t="shared" si="51"/>
        <v>7.2</v>
      </c>
      <c r="AC85" s="47">
        <f t="shared" si="52"/>
        <v>0</v>
      </c>
      <c r="AD85" s="47"/>
      <c r="AE85" s="47"/>
      <c r="AF85" s="47">
        <f t="shared" si="53"/>
        <v>7.2</v>
      </c>
      <c r="AG85" s="47">
        <v>6000</v>
      </c>
      <c r="AH85" s="47"/>
      <c r="AI85" s="47">
        <f t="shared" si="54"/>
        <v>12.95</v>
      </c>
      <c r="AJ85" s="53">
        <f t="shared" si="55"/>
        <v>6.4198000000000004</v>
      </c>
      <c r="AK85" s="53">
        <f t="shared" si="56"/>
        <v>64198.000000000007</v>
      </c>
      <c r="AL85" s="47"/>
      <c r="AM85" s="47">
        <f t="shared" si="36"/>
        <v>2.7985000000000002</v>
      </c>
      <c r="AN85" s="47">
        <f t="shared" si="37"/>
        <v>2.6339000000000001</v>
      </c>
      <c r="AO85" s="47">
        <f t="shared" si="57"/>
        <v>26339</v>
      </c>
      <c r="AP85" s="47">
        <f t="shared" si="38"/>
        <v>0.1646</v>
      </c>
      <c r="AQ85" s="47">
        <f t="shared" si="58"/>
        <v>1646</v>
      </c>
      <c r="AR85" s="47"/>
      <c r="AS85" s="47">
        <f t="shared" si="59"/>
        <v>0.42799999999999999</v>
      </c>
      <c r="AT85" s="47">
        <f t="shared" si="39"/>
        <v>0.19750000000000001</v>
      </c>
      <c r="AU85" s="47">
        <f t="shared" si="60"/>
        <v>1975</v>
      </c>
      <c r="AV85" s="47">
        <f t="shared" si="40"/>
        <v>0.23050000000000001</v>
      </c>
      <c r="AW85" s="47">
        <f t="shared" si="61"/>
        <v>2305</v>
      </c>
      <c r="AX85" s="47">
        <f t="shared" si="41"/>
        <v>4.8148999999999997</v>
      </c>
      <c r="AY85" s="47"/>
      <c r="AZ85" s="47"/>
      <c r="BA85" s="54">
        <v>1E-4</v>
      </c>
      <c r="BB85" s="55" t="s">
        <v>212</v>
      </c>
      <c r="BC85" s="51">
        <f t="shared" si="62"/>
        <v>44.66</v>
      </c>
      <c r="BD85" s="47">
        <f t="shared" si="33"/>
        <v>4.8</v>
      </c>
      <c r="BE85" s="47">
        <f t="shared" si="63"/>
        <v>1.86</v>
      </c>
      <c r="BF85" s="47">
        <v>1550</v>
      </c>
      <c r="BG85" s="56">
        <v>38</v>
      </c>
      <c r="BH85" s="47"/>
      <c r="BI85" s="51">
        <f t="shared" si="42"/>
        <v>0</v>
      </c>
      <c r="BJ85" s="51">
        <f t="shared" si="43"/>
        <v>0</v>
      </c>
      <c r="BK85" s="47"/>
      <c r="BL85" s="47"/>
      <c r="BM85" s="47"/>
      <c r="BN85" s="47"/>
      <c r="BO85" s="47"/>
      <c r="BP85" s="47"/>
      <c r="BQ85" s="47"/>
      <c r="BR85" s="47"/>
      <c r="BS85" s="53"/>
      <c r="BT85" s="47"/>
      <c r="BU85" s="47"/>
      <c r="BV85" s="47"/>
      <c r="BW85" s="47"/>
      <c r="BX85" s="47"/>
      <c r="BY85" s="47"/>
      <c r="BZ85" s="47"/>
      <c r="CA85" s="47"/>
      <c r="CB85" s="54">
        <f t="shared" si="44"/>
        <v>99.245199999999983</v>
      </c>
      <c r="CC85" s="47"/>
      <c r="CD85" s="57"/>
      <c r="CE85" s="47"/>
      <c r="CF85" s="47">
        <f t="shared" si="45"/>
        <v>99.245199999999983</v>
      </c>
    </row>
    <row r="86" spans="1:84" ht="14.25" customHeight="1">
      <c r="A86" s="47">
        <v>79</v>
      </c>
      <c r="B86" s="47" t="s">
        <v>129</v>
      </c>
      <c r="C86" s="48">
        <v>404001</v>
      </c>
      <c r="D86" s="49" t="s">
        <v>213</v>
      </c>
      <c r="E86" s="49" t="s">
        <v>131</v>
      </c>
      <c r="F86" s="50">
        <f t="shared" si="46"/>
        <v>55</v>
      </c>
      <c r="G86" s="50">
        <v>33</v>
      </c>
      <c r="H86" s="50"/>
      <c r="I86" s="50">
        <v>16</v>
      </c>
      <c r="J86" s="50">
        <v>6</v>
      </c>
      <c r="K86" s="50"/>
      <c r="L86" s="50"/>
      <c r="M86" s="50"/>
      <c r="N86" s="50">
        <v>7</v>
      </c>
      <c r="O86" s="50">
        <f t="shared" si="47"/>
        <v>62</v>
      </c>
      <c r="P86" s="51">
        <f t="shared" si="34"/>
        <v>934.55700000000002</v>
      </c>
      <c r="Q86" s="51">
        <f t="shared" si="35"/>
        <v>592.48900000000003</v>
      </c>
      <c r="R86" s="47">
        <f t="shared" si="48"/>
        <v>175613</v>
      </c>
      <c r="S86" s="58">
        <v>111395</v>
      </c>
      <c r="T86" s="51">
        <v>64218</v>
      </c>
      <c r="U86" s="47">
        <f t="shared" si="49"/>
        <v>210.73560000000001</v>
      </c>
      <c r="V86" s="51">
        <f t="shared" si="2"/>
        <v>74.25</v>
      </c>
      <c r="W86" s="47">
        <f t="shared" si="50"/>
        <v>74.25</v>
      </c>
      <c r="X86" s="47"/>
      <c r="Y86" s="47"/>
      <c r="Z86" s="47"/>
      <c r="AA86" s="47"/>
      <c r="AB86" s="51">
        <f t="shared" si="51"/>
        <v>95.830699999999993</v>
      </c>
      <c r="AC86" s="47">
        <f t="shared" si="52"/>
        <v>11.1395</v>
      </c>
      <c r="AD86" s="47"/>
      <c r="AE86" s="47"/>
      <c r="AF86" s="47">
        <f t="shared" si="53"/>
        <v>84.691199999999995</v>
      </c>
      <c r="AG86" s="47">
        <v>70576</v>
      </c>
      <c r="AH86" s="47"/>
      <c r="AI86" s="47">
        <f t="shared" si="54"/>
        <v>56.98</v>
      </c>
      <c r="AJ86" s="53">
        <f t="shared" si="55"/>
        <v>70.047399999999996</v>
      </c>
      <c r="AK86" s="53">
        <f t="shared" si="56"/>
        <v>700474</v>
      </c>
      <c r="AL86" s="47"/>
      <c r="AM86" s="47">
        <f t="shared" si="36"/>
        <v>29.119599999999998</v>
      </c>
      <c r="AN86" s="47">
        <f t="shared" si="37"/>
        <v>27.409700000000001</v>
      </c>
      <c r="AO86" s="47">
        <f t="shared" si="57"/>
        <v>274097</v>
      </c>
      <c r="AP86" s="47">
        <f t="shared" si="38"/>
        <v>1.7098</v>
      </c>
      <c r="AQ86" s="47">
        <f t="shared" si="58"/>
        <v>17098</v>
      </c>
      <c r="AR86" s="47"/>
      <c r="AS86" s="47">
        <f t="shared" si="59"/>
        <v>2.9901</v>
      </c>
      <c r="AT86" s="47">
        <f t="shared" si="39"/>
        <v>2.0518000000000001</v>
      </c>
      <c r="AU86" s="47">
        <f t="shared" si="60"/>
        <v>20518</v>
      </c>
      <c r="AV86" s="47">
        <f t="shared" si="40"/>
        <v>0.93830000000000002</v>
      </c>
      <c r="AW86" s="47">
        <f t="shared" si="61"/>
        <v>9383</v>
      </c>
      <c r="AX86" s="47">
        <f t="shared" si="41"/>
        <v>52.535600000000002</v>
      </c>
      <c r="AY86" s="47"/>
      <c r="AZ86" s="47"/>
      <c r="BA86" s="54">
        <v>1E-4</v>
      </c>
      <c r="BB86" s="55" t="s">
        <v>213</v>
      </c>
      <c r="BC86" s="51">
        <f t="shared" si="62"/>
        <v>342.06799999999998</v>
      </c>
      <c r="BD86" s="47">
        <f t="shared" si="33"/>
        <v>60.72</v>
      </c>
      <c r="BE86" s="47">
        <f t="shared" si="63"/>
        <v>36.347999999999999</v>
      </c>
      <c r="BF86" s="47">
        <v>30290</v>
      </c>
      <c r="BG86" s="56">
        <v>227</v>
      </c>
      <c r="BH86" s="47">
        <v>18</v>
      </c>
      <c r="BI86" s="51">
        <f t="shared" si="42"/>
        <v>0</v>
      </c>
      <c r="BJ86" s="51">
        <f t="shared" si="43"/>
        <v>0</v>
      </c>
      <c r="BK86" s="47"/>
      <c r="BL86" s="47"/>
      <c r="BM86" s="47"/>
      <c r="BN86" s="47"/>
      <c r="BO86" s="47"/>
      <c r="BP86" s="47"/>
      <c r="BQ86" s="47"/>
      <c r="BR86" s="47"/>
      <c r="BS86" s="53"/>
      <c r="BT86" s="47"/>
      <c r="BU86" s="47"/>
      <c r="BV86" s="47"/>
      <c r="BW86" s="47"/>
      <c r="BX86" s="47">
        <v>61</v>
      </c>
      <c r="BY86" s="47"/>
      <c r="BZ86" s="47">
        <f>39762.95-37532.6</f>
        <v>2230.3499999999985</v>
      </c>
      <c r="CA86" s="47"/>
      <c r="CB86" s="54">
        <f t="shared" si="44"/>
        <v>3225.9069999999983</v>
      </c>
      <c r="CC86" s="47">
        <v>126.26</v>
      </c>
      <c r="CD86" s="57"/>
      <c r="CE86" s="47"/>
      <c r="CF86" s="47">
        <f t="shared" si="45"/>
        <v>3352.1669999999986</v>
      </c>
    </row>
    <row r="87" spans="1:84" ht="14.25" customHeight="1">
      <c r="A87" s="47">
        <v>80</v>
      </c>
      <c r="B87" s="47" t="s">
        <v>129</v>
      </c>
      <c r="C87" s="48">
        <v>402001</v>
      </c>
      <c r="D87" s="49" t="s">
        <v>214</v>
      </c>
      <c r="E87" s="49" t="s">
        <v>131</v>
      </c>
      <c r="F87" s="50">
        <f t="shared" si="46"/>
        <v>60</v>
      </c>
      <c r="G87" s="50">
        <v>17</v>
      </c>
      <c r="H87" s="50">
        <v>1</v>
      </c>
      <c r="I87" s="50">
        <v>42</v>
      </c>
      <c r="J87" s="50"/>
      <c r="K87" s="50"/>
      <c r="L87" s="50"/>
      <c r="M87" s="50"/>
      <c r="N87" s="50">
        <v>43</v>
      </c>
      <c r="O87" s="50">
        <f t="shared" si="47"/>
        <v>103</v>
      </c>
      <c r="P87" s="51">
        <f t="shared" si="34"/>
        <v>2478.2260000000001</v>
      </c>
      <c r="Q87" s="51">
        <f t="shared" si="35"/>
        <v>829.25400000000013</v>
      </c>
      <c r="R87" s="47">
        <f t="shared" si="48"/>
        <v>198591</v>
      </c>
      <c r="S87" s="58">
        <v>72544</v>
      </c>
      <c r="T87" s="51">
        <v>126047</v>
      </c>
      <c r="U87" s="47">
        <f t="shared" si="49"/>
        <v>238.3092</v>
      </c>
      <c r="V87" s="51">
        <f t="shared" si="2"/>
        <v>40.5</v>
      </c>
      <c r="W87" s="47">
        <f t="shared" si="50"/>
        <v>40.5</v>
      </c>
      <c r="X87" s="47"/>
      <c r="Y87" s="47"/>
      <c r="Z87" s="47"/>
      <c r="AA87" s="47"/>
      <c r="AB87" s="51">
        <f t="shared" si="51"/>
        <v>100.21600000000001</v>
      </c>
      <c r="AC87" s="47">
        <f t="shared" si="52"/>
        <v>7.2544000000000004</v>
      </c>
      <c r="AD87" s="47"/>
      <c r="AE87" s="47"/>
      <c r="AF87" s="47">
        <f t="shared" si="53"/>
        <v>92.961600000000004</v>
      </c>
      <c r="AG87" s="47">
        <v>77468</v>
      </c>
      <c r="AH87" s="47"/>
      <c r="AI87" s="47">
        <f t="shared" si="54"/>
        <v>108.78</v>
      </c>
      <c r="AJ87" s="53">
        <f t="shared" si="55"/>
        <v>78.0488</v>
      </c>
      <c r="AK87" s="53">
        <f t="shared" si="56"/>
        <v>780488</v>
      </c>
      <c r="AL87" s="47"/>
      <c r="AM87" s="47">
        <f t="shared" si="36"/>
        <v>33.267600000000002</v>
      </c>
      <c r="AN87" s="47">
        <f t="shared" si="37"/>
        <v>31.329599999999999</v>
      </c>
      <c r="AO87" s="47">
        <f t="shared" si="57"/>
        <v>313296</v>
      </c>
      <c r="AP87" s="47">
        <f t="shared" si="38"/>
        <v>1.9379</v>
      </c>
      <c r="AQ87" s="47">
        <f t="shared" si="58"/>
        <v>19379</v>
      </c>
      <c r="AR87" s="47"/>
      <c r="AS87" s="47">
        <f t="shared" si="59"/>
        <v>4.1458000000000004</v>
      </c>
      <c r="AT87" s="47">
        <f t="shared" si="39"/>
        <v>2.3254999999999999</v>
      </c>
      <c r="AU87" s="47">
        <f t="shared" si="60"/>
        <v>23255</v>
      </c>
      <c r="AV87" s="47">
        <f t="shared" si="40"/>
        <v>1.8203</v>
      </c>
      <c r="AW87" s="47">
        <f t="shared" si="61"/>
        <v>18203</v>
      </c>
      <c r="AX87" s="47">
        <f t="shared" si="41"/>
        <v>58.5366</v>
      </c>
      <c r="AY87" s="47"/>
      <c r="AZ87" s="47">
        <f>140+27.45</f>
        <v>167.45</v>
      </c>
      <c r="BA87" s="54">
        <v>1E-4</v>
      </c>
      <c r="BB87" s="55" t="s">
        <v>214</v>
      </c>
      <c r="BC87" s="51">
        <f t="shared" si="62"/>
        <v>361.77600000000001</v>
      </c>
      <c r="BD87" s="47">
        <f t="shared" si="33"/>
        <v>61.92</v>
      </c>
      <c r="BE87" s="47">
        <f t="shared" si="63"/>
        <v>23.856000000000002</v>
      </c>
      <c r="BF87" s="47">
        <v>19880</v>
      </c>
      <c r="BG87" s="56">
        <v>261</v>
      </c>
      <c r="BH87" s="47">
        <v>15</v>
      </c>
      <c r="BI87" s="51">
        <f t="shared" si="42"/>
        <v>1287.1959999999999</v>
      </c>
      <c r="BJ87" s="51">
        <f t="shared" si="43"/>
        <v>0</v>
      </c>
      <c r="BK87" s="47"/>
      <c r="BL87" s="47"/>
      <c r="BM87" s="47"/>
      <c r="BN87" s="47"/>
      <c r="BO87" s="47"/>
      <c r="BP87" s="68">
        <v>9.9359999999999999</v>
      </c>
      <c r="BQ87" s="47"/>
      <c r="BR87" s="47"/>
      <c r="BS87" s="53"/>
      <c r="BT87" s="47"/>
      <c r="BU87" s="47"/>
      <c r="BV87" s="47"/>
      <c r="BW87" s="47">
        <f>1444.71-167.45</f>
        <v>1277.26</v>
      </c>
      <c r="BX87" s="47">
        <v>524.58000000000004</v>
      </c>
      <c r="BY87" s="47"/>
      <c r="BZ87" s="47">
        <v>16359.2</v>
      </c>
      <c r="CA87" s="47"/>
      <c r="CB87" s="54">
        <f t="shared" si="44"/>
        <v>19362.006000000001</v>
      </c>
      <c r="CC87" s="47">
        <v>273.10000000000002</v>
      </c>
      <c r="CD87" s="57"/>
      <c r="CE87" s="47"/>
      <c r="CF87" s="47">
        <f t="shared" si="45"/>
        <v>19635.106</v>
      </c>
    </row>
    <row r="88" spans="1:84" ht="14.25" customHeight="1">
      <c r="A88" s="47">
        <v>81</v>
      </c>
      <c r="B88" s="47" t="s">
        <v>129</v>
      </c>
      <c r="C88" s="48">
        <v>408001</v>
      </c>
      <c r="D88" s="49" t="s">
        <v>215</v>
      </c>
      <c r="E88" s="49" t="s">
        <v>143</v>
      </c>
      <c r="F88" s="50">
        <f t="shared" si="46"/>
        <v>9</v>
      </c>
      <c r="G88" s="50">
        <v>6</v>
      </c>
      <c r="H88" s="50">
        <v>3</v>
      </c>
      <c r="I88" s="50"/>
      <c r="J88" s="50"/>
      <c r="K88" s="50"/>
      <c r="L88" s="50"/>
      <c r="M88" s="50"/>
      <c r="N88" s="50">
        <v>5</v>
      </c>
      <c r="O88" s="50">
        <f t="shared" si="47"/>
        <v>14</v>
      </c>
      <c r="P88" s="51">
        <f t="shared" si="34"/>
        <v>144.50830000000002</v>
      </c>
      <c r="Q88" s="51">
        <f t="shared" si="35"/>
        <v>95.648300000000006</v>
      </c>
      <c r="R88" s="47">
        <f t="shared" si="48"/>
        <v>27786</v>
      </c>
      <c r="S88" s="58">
        <v>27786</v>
      </c>
      <c r="T88" s="51"/>
      <c r="U88" s="47">
        <f t="shared" si="49"/>
        <v>33.343200000000003</v>
      </c>
      <c r="V88" s="51">
        <f t="shared" si="2"/>
        <v>20.25</v>
      </c>
      <c r="W88" s="47">
        <f t="shared" si="50"/>
        <v>20.25</v>
      </c>
      <c r="X88" s="47"/>
      <c r="Y88" s="47"/>
      <c r="Z88" s="47"/>
      <c r="AA88" s="47"/>
      <c r="AB88" s="51">
        <f t="shared" si="51"/>
        <v>17.2926</v>
      </c>
      <c r="AC88" s="47">
        <f t="shared" si="52"/>
        <v>2.7786</v>
      </c>
      <c r="AD88" s="47"/>
      <c r="AE88" s="47"/>
      <c r="AF88" s="47">
        <f t="shared" si="53"/>
        <v>14.513999999999999</v>
      </c>
      <c r="AG88" s="47">
        <v>12095</v>
      </c>
      <c r="AH88" s="47"/>
      <c r="AI88" s="47">
        <f t="shared" si="54"/>
        <v>0</v>
      </c>
      <c r="AJ88" s="53">
        <f t="shared" si="55"/>
        <v>11.341699999999999</v>
      </c>
      <c r="AK88" s="53">
        <f t="shared" si="56"/>
        <v>113417</v>
      </c>
      <c r="AL88" s="47"/>
      <c r="AM88" s="47">
        <f t="shared" si="36"/>
        <v>4.5929000000000002</v>
      </c>
      <c r="AN88" s="47">
        <f t="shared" si="37"/>
        <v>4.3250000000000002</v>
      </c>
      <c r="AO88" s="47">
        <f t="shared" si="57"/>
        <v>43250</v>
      </c>
      <c r="AP88" s="47">
        <f t="shared" si="38"/>
        <v>0.26800000000000002</v>
      </c>
      <c r="AQ88" s="47">
        <f t="shared" si="58"/>
        <v>2680</v>
      </c>
      <c r="AR88" s="47"/>
      <c r="AS88" s="47">
        <f t="shared" si="59"/>
        <v>0.3216</v>
      </c>
      <c r="AT88" s="47">
        <f t="shared" si="39"/>
        <v>0.3216</v>
      </c>
      <c r="AU88" s="47">
        <f t="shared" si="60"/>
        <v>3216</v>
      </c>
      <c r="AV88" s="47">
        <f t="shared" si="40"/>
        <v>0</v>
      </c>
      <c r="AW88" s="47">
        <f t="shared" si="61"/>
        <v>0</v>
      </c>
      <c r="AX88" s="47">
        <f t="shared" si="41"/>
        <v>8.5062999999999995</v>
      </c>
      <c r="AY88" s="47"/>
      <c r="AZ88" s="47"/>
      <c r="BA88" s="54">
        <v>1E-4</v>
      </c>
      <c r="BB88" s="55" t="s">
        <v>215</v>
      </c>
      <c r="BC88" s="51">
        <f t="shared" si="62"/>
        <v>48.86</v>
      </c>
      <c r="BD88" s="47">
        <f t="shared" si="33"/>
        <v>10.799999999999999</v>
      </c>
      <c r="BE88" s="47">
        <f t="shared" si="63"/>
        <v>6.06</v>
      </c>
      <c r="BF88" s="47">
        <v>5050</v>
      </c>
      <c r="BG88" s="56">
        <v>32</v>
      </c>
      <c r="BH88" s="47"/>
      <c r="BI88" s="51">
        <f t="shared" si="42"/>
        <v>0</v>
      </c>
      <c r="BJ88" s="51">
        <f t="shared" si="43"/>
        <v>0</v>
      </c>
      <c r="BK88" s="47"/>
      <c r="BL88" s="47"/>
      <c r="BM88" s="47"/>
      <c r="BN88" s="47"/>
      <c r="BO88" s="47"/>
      <c r="BP88" s="47"/>
      <c r="BQ88" s="47"/>
      <c r="BR88" s="47"/>
      <c r="BS88" s="53"/>
      <c r="BT88" s="47"/>
      <c r="BU88" s="47"/>
      <c r="BV88" s="47"/>
      <c r="BW88" s="47"/>
      <c r="BX88" s="47">
        <v>230</v>
      </c>
      <c r="BY88" s="47"/>
      <c r="BZ88" s="47">
        <v>263.56</v>
      </c>
      <c r="CA88" s="47"/>
      <c r="CB88" s="54">
        <f t="shared" si="44"/>
        <v>638.06830000000002</v>
      </c>
      <c r="CC88" s="47">
        <v>140.19999999999999</v>
      </c>
      <c r="CD88" s="57"/>
      <c r="CE88" s="47"/>
      <c r="CF88" s="47">
        <f t="shared" si="45"/>
        <v>778.26829999999995</v>
      </c>
    </row>
    <row r="89" spans="1:84" ht="14.25" customHeight="1">
      <c r="A89" s="47">
        <v>82</v>
      </c>
      <c r="B89" s="47" t="s">
        <v>129</v>
      </c>
      <c r="C89" s="48">
        <v>409001</v>
      </c>
      <c r="D89" s="49" t="s">
        <v>216</v>
      </c>
      <c r="E89" s="49" t="s">
        <v>131</v>
      </c>
      <c r="F89" s="50">
        <f t="shared" si="46"/>
        <v>25</v>
      </c>
      <c r="G89" s="50">
        <v>6</v>
      </c>
      <c r="H89" s="50"/>
      <c r="I89" s="50">
        <v>19</v>
      </c>
      <c r="J89" s="50"/>
      <c r="K89" s="50"/>
      <c r="L89" s="50"/>
      <c r="M89" s="50"/>
      <c r="N89" s="50">
        <v>1</v>
      </c>
      <c r="O89" s="50">
        <f t="shared" si="47"/>
        <v>26</v>
      </c>
      <c r="P89" s="51">
        <f t="shared" si="34"/>
        <v>4051.0226000000002</v>
      </c>
      <c r="Q89" s="51">
        <f t="shared" si="35"/>
        <v>274.4726</v>
      </c>
      <c r="R89" s="47">
        <f t="shared" si="48"/>
        <v>82887</v>
      </c>
      <c r="S89" s="58">
        <v>20746</v>
      </c>
      <c r="T89" s="51">
        <v>62141</v>
      </c>
      <c r="U89" s="47">
        <f t="shared" si="49"/>
        <v>99.464399999999998</v>
      </c>
      <c r="V89" s="51">
        <f t="shared" si="2"/>
        <v>13.5</v>
      </c>
      <c r="W89" s="47">
        <f t="shared" si="50"/>
        <v>13.5</v>
      </c>
      <c r="X89" s="47"/>
      <c r="Y89" s="47"/>
      <c r="Z89" s="47"/>
      <c r="AA89" s="47"/>
      <c r="AB89" s="51">
        <f t="shared" si="51"/>
        <v>40.045000000000002</v>
      </c>
      <c r="AC89" s="47">
        <f t="shared" si="52"/>
        <v>2.0746000000000002</v>
      </c>
      <c r="AD89" s="47"/>
      <c r="AE89" s="47"/>
      <c r="AF89" s="47">
        <f t="shared" si="53"/>
        <v>37.970399999999998</v>
      </c>
      <c r="AG89" s="47">
        <v>31642</v>
      </c>
      <c r="AH89" s="47"/>
      <c r="AI89" s="47">
        <f t="shared" si="54"/>
        <v>49.21</v>
      </c>
      <c r="AJ89" s="53">
        <f t="shared" si="55"/>
        <v>32.3551</v>
      </c>
      <c r="AK89" s="53">
        <f t="shared" si="56"/>
        <v>323551</v>
      </c>
      <c r="AL89" s="47"/>
      <c r="AM89" s="47">
        <f t="shared" si="36"/>
        <v>13.792299999999999</v>
      </c>
      <c r="AN89" s="47">
        <f t="shared" si="37"/>
        <v>12.9815</v>
      </c>
      <c r="AO89" s="47">
        <f t="shared" si="57"/>
        <v>129815</v>
      </c>
      <c r="AP89" s="47">
        <f t="shared" si="38"/>
        <v>0.81089999999999995</v>
      </c>
      <c r="AQ89" s="47">
        <f t="shared" si="58"/>
        <v>8108.9999999999991</v>
      </c>
      <c r="AR89" s="47"/>
      <c r="AS89" s="47">
        <f t="shared" si="59"/>
        <v>1.8394999999999999</v>
      </c>
      <c r="AT89" s="47">
        <f t="shared" si="39"/>
        <v>0.97299999999999998</v>
      </c>
      <c r="AU89" s="47">
        <f t="shared" si="60"/>
        <v>9730</v>
      </c>
      <c r="AV89" s="47">
        <f t="shared" si="40"/>
        <v>0.86650000000000005</v>
      </c>
      <c r="AW89" s="47">
        <f t="shared" si="61"/>
        <v>8665</v>
      </c>
      <c r="AX89" s="47">
        <f t="shared" si="41"/>
        <v>24.266300000000001</v>
      </c>
      <c r="AY89" s="47"/>
      <c r="AZ89" s="47"/>
      <c r="BA89" s="54">
        <v>1E-4</v>
      </c>
      <c r="BB89" s="55" t="s">
        <v>216</v>
      </c>
      <c r="BC89" s="51">
        <f t="shared" si="62"/>
        <v>211.82</v>
      </c>
      <c r="BD89" s="47">
        <f t="shared" si="33"/>
        <v>25.439999999999998</v>
      </c>
      <c r="BE89" s="47">
        <f t="shared" si="63"/>
        <v>4.38</v>
      </c>
      <c r="BF89" s="47">
        <v>3650</v>
      </c>
      <c r="BG89" s="56">
        <v>182</v>
      </c>
      <c r="BH89" s="47"/>
      <c r="BI89" s="51">
        <f t="shared" si="42"/>
        <v>3564.73</v>
      </c>
      <c r="BJ89" s="51">
        <f t="shared" si="43"/>
        <v>0</v>
      </c>
      <c r="BK89" s="47"/>
      <c r="BL89" s="47"/>
      <c r="BM89" s="47"/>
      <c r="BN89" s="47"/>
      <c r="BO89" s="47"/>
      <c r="BP89" s="47"/>
      <c r="BQ89" s="47"/>
      <c r="BR89" s="47">
        <v>620</v>
      </c>
      <c r="BS89" s="53"/>
      <c r="BT89" s="47"/>
      <c r="BU89" s="47"/>
      <c r="BV89" s="47"/>
      <c r="BW89" s="67">
        <f>3564.73-620</f>
        <v>2944.73</v>
      </c>
      <c r="BX89" s="47">
        <v>20</v>
      </c>
      <c r="BY89" s="47"/>
      <c r="BZ89" s="47">
        <f>7519.08+146.91</f>
        <v>7665.99</v>
      </c>
      <c r="CA89" s="47"/>
      <c r="CB89" s="54">
        <f t="shared" si="44"/>
        <v>11737.0126</v>
      </c>
      <c r="CC89" s="47"/>
      <c r="CD89" s="57"/>
      <c r="CE89" s="47"/>
      <c r="CF89" s="47">
        <f t="shared" si="45"/>
        <v>11737.0126</v>
      </c>
    </row>
    <row r="90" spans="1:84" ht="14.25" customHeight="1">
      <c r="A90" s="47">
        <v>83</v>
      </c>
      <c r="B90" s="47" t="s">
        <v>129</v>
      </c>
      <c r="C90" s="48">
        <v>406001</v>
      </c>
      <c r="D90" s="49" t="s">
        <v>217</v>
      </c>
      <c r="E90" s="49" t="s">
        <v>150</v>
      </c>
      <c r="F90" s="50">
        <f t="shared" si="46"/>
        <v>12</v>
      </c>
      <c r="G90" s="50"/>
      <c r="H90" s="50"/>
      <c r="I90" s="50">
        <v>12</v>
      </c>
      <c r="J90" s="50"/>
      <c r="K90" s="50"/>
      <c r="L90" s="50"/>
      <c r="M90" s="50"/>
      <c r="N90" s="50">
        <v>91</v>
      </c>
      <c r="O90" s="50">
        <f t="shared" si="47"/>
        <v>103</v>
      </c>
      <c r="P90" s="51">
        <f t="shared" si="34"/>
        <v>287.18180000000001</v>
      </c>
      <c r="Q90" s="51">
        <f t="shared" si="35"/>
        <v>167.92580000000001</v>
      </c>
      <c r="R90" s="47">
        <f t="shared" si="48"/>
        <v>61863</v>
      </c>
      <c r="S90" s="58"/>
      <c r="T90" s="51">
        <v>61863</v>
      </c>
      <c r="U90" s="47">
        <f t="shared" si="49"/>
        <v>74.235600000000005</v>
      </c>
      <c r="V90" s="51">
        <f t="shared" si="2"/>
        <v>0</v>
      </c>
      <c r="W90" s="47">
        <f t="shared" si="50"/>
        <v>0</v>
      </c>
      <c r="X90" s="47"/>
      <c r="Y90" s="47"/>
      <c r="Z90" s="47"/>
      <c r="AA90" s="47"/>
      <c r="AB90" s="51">
        <f t="shared" si="51"/>
        <v>17.28</v>
      </c>
      <c r="AC90" s="47">
        <f t="shared" si="52"/>
        <v>0</v>
      </c>
      <c r="AD90" s="47"/>
      <c r="AE90" s="47"/>
      <c r="AF90" s="47">
        <f t="shared" si="53"/>
        <v>17.28</v>
      </c>
      <c r="AG90" s="47">
        <v>14400</v>
      </c>
      <c r="AH90" s="47"/>
      <c r="AI90" s="47">
        <f t="shared" si="54"/>
        <v>31.08</v>
      </c>
      <c r="AJ90" s="53">
        <f t="shared" si="55"/>
        <v>19.615300000000001</v>
      </c>
      <c r="AK90" s="53">
        <f t="shared" si="56"/>
        <v>196153</v>
      </c>
      <c r="AL90" s="47"/>
      <c r="AM90" s="47">
        <f t="shared" si="36"/>
        <v>9.6342999999999996</v>
      </c>
      <c r="AN90" s="47">
        <f t="shared" si="37"/>
        <v>9.1076999999999995</v>
      </c>
      <c r="AO90" s="47">
        <f t="shared" si="57"/>
        <v>91077</v>
      </c>
      <c r="AP90" s="47">
        <f t="shared" si="38"/>
        <v>0.52659999999999996</v>
      </c>
      <c r="AQ90" s="47">
        <f t="shared" si="58"/>
        <v>5266</v>
      </c>
      <c r="AR90" s="47"/>
      <c r="AS90" s="47">
        <f t="shared" si="59"/>
        <v>1.3691</v>
      </c>
      <c r="AT90" s="47">
        <f t="shared" si="39"/>
        <v>0.63190000000000002</v>
      </c>
      <c r="AU90" s="47">
        <f t="shared" si="60"/>
        <v>6319</v>
      </c>
      <c r="AV90" s="47">
        <f t="shared" si="40"/>
        <v>0.73719999999999997</v>
      </c>
      <c r="AW90" s="47">
        <f t="shared" si="61"/>
        <v>7372</v>
      </c>
      <c r="AX90" s="47">
        <f t="shared" si="41"/>
        <v>14.711499999999999</v>
      </c>
      <c r="AY90" s="47"/>
      <c r="AZ90" s="47"/>
      <c r="BA90" s="54">
        <v>1E-4</v>
      </c>
      <c r="BB90" s="55" t="s">
        <v>217</v>
      </c>
      <c r="BC90" s="51">
        <f t="shared" si="62"/>
        <v>111.94800000000001</v>
      </c>
      <c r="BD90" s="47">
        <f t="shared" si="33"/>
        <v>11.52</v>
      </c>
      <c r="BE90" s="47">
        <f t="shared" si="63"/>
        <v>11.928000000000001</v>
      </c>
      <c r="BF90" s="47">
        <v>9940</v>
      </c>
      <c r="BG90" s="56">
        <v>88.5</v>
      </c>
      <c r="BH90" s="47"/>
      <c r="BI90" s="51">
        <f t="shared" si="42"/>
        <v>7.3079999999999998</v>
      </c>
      <c r="BJ90" s="51">
        <f t="shared" si="43"/>
        <v>0</v>
      </c>
      <c r="BK90" s="68"/>
      <c r="BL90" s="68"/>
      <c r="BM90" s="47"/>
      <c r="BN90" s="47"/>
      <c r="BO90" s="47"/>
      <c r="BP90" s="68">
        <v>7.3079999999999998</v>
      </c>
      <c r="BQ90" s="47"/>
      <c r="BR90" s="47"/>
      <c r="BS90" s="53"/>
      <c r="BT90" s="47"/>
      <c r="BU90" s="47"/>
      <c r="BV90" s="47"/>
      <c r="BW90" s="47"/>
      <c r="BX90" s="47"/>
      <c r="BY90" s="47"/>
      <c r="BZ90" s="47"/>
      <c r="CA90" s="47"/>
      <c r="CB90" s="54">
        <f t="shared" si="44"/>
        <v>287.18180000000001</v>
      </c>
      <c r="CC90" s="47"/>
      <c r="CD90" s="57"/>
      <c r="CE90" s="47"/>
      <c r="CF90" s="47">
        <f t="shared" si="45"/>
        <v>287.18180000000001</v>
      </c>
    </row>
    <row r="91" spans="1:84" ht="14.25" customHeight="1">
      <c r="A91" s="47">
        <v>84</v>
      </c>
      <c r="B91" s="47" t="s">
        <v>129</v>
      </c>
      <c r="C91" s="48">
        <v>403001</v>
      </c>
      <c r="D91" s="49" t="s">
        <v>218</v>
      </c>
      <c r="E91" s="49" t="s">
        <v>131</v>
      </c>
      <c r="F91" s="50">
        <f t="shared" si="46"/>
        <v>42</v>
      </c>
      <c r="G91" s="50">
        <v>25</v>
      </c>
      <c r="H91" s="50">
        <v>3</v>
      </c>
      <c r="I91" s="50">
        <v>14</v>
      </c>
      <c r="J91" s="50"/>
      <c r="K91" s="50"/>
      <c r="L91" s="50"/>
      <c r="M91" s="50"/>
      <c r="N91" s="50">
        <v>41</v>
      </c>
      <c r="O91" s="50">
        <f t="shared" si="47"/>
        <v>83</v>
      </c>
      <c r="P91" s="51">
        <f t="shared" si="34"/>
        <v>3580.9603999999999</v>
      </c>
      <c r="Q91" s="51">
        <f t="shared" si="35"/>
        <v>2336.2352000000001</v>
      </c>
      <c r="R91" s="47">
        <f t="shared" si="48"/>
        <v>161157</v>
      </c>
      <c r="S91" s="58">
        <v>113023</v>
      </c>
      <c r="T91" s="51">
        <v>48134</v>
      </c>
      <c r="U91" s="47">
        <f t="shared" si="49"/>
        <v>193.38839999999999</v>
      </c>
      <c r="V91" s="51">
        <f t="shared" si="2"/>
        <v>148.78</v>
      </c>
      <c r="W91" s="47">
        <f t="shared" si="50"/>
        <v>63</v>
      </c>
      <c r="X91" s="47"/>
      <c r="Y91" s="67">
        <v>85.78</v>
      </c>
      <c r="Z91" s="47"/>
      <c r="AA91" s="47"/>
      <c r="AB91" s="51">
        <f t="shared" si="51"/>
        <v>81.526300000000006</v>
      </c>
      <c r="AC91" s="47">
        <f t="shared" si="52"/>
        <v>11.302300000000001</v>
      </c>
      <c r="AD91" s="47"/>
      <c r="AE91" s="47"/>
      <c r="AF91" s="47">
        <f t="shared" si="53"/>
        <v>70.224000000000004</v>
      </c>
      <c r="AG91" s="47">
        <v>58520</v>
      </c>
      <c r="AH91" s="47"/>
      <c r="AI91" s="47">
        <f t="shared" si="54"/>
        <v>36.26</v>
      </c>
      <c r="AJ91" s="53">
        <f t="shared" si="55"/>
        <v>59.868000000000002</v>
      </c>
      <c r="AK91" s="53">
        <f t="shared" si="56"/>
        <v>598680</v>
      </c>
      <c r="AL91" s="67"/>
      <c r="AM91" s="47">
        <f>ROUND(((U91+W91+AI91)*0.085+N91*0.0075),4)+3.9149</f>
        <v>29.0975</v>
      </c>
      <c r="AN91" s="47">
        <f t="shared" si="37"/>
        <v>23.7194</v>
      </c>
      <c r="AO91" s="47">
        <f t="shared" si="57"/>
        <v>237194</v>
      </c>
      <c r="AP91" s="47">
        <f t="shared" si="38"/>
        <v>1.4632000000000001</v>
      </c>
      <c r="AQ91" s="47">
        <f t="shared" si="58"/>
        <v>14632</v>
      </c>
      <c r="AR91" s="47"/>
      <c r="AS91" s="47">
        <f t="shared" si="59"/>
        <v>2.4140000000000001</v>
      </c>
      <c r="AT91" s="47">
        <f t="shared" si="39"/>
        <v>1.7559</v>
      </c>
      <c r="AU91" s="47">
        <f t="shared" si="60"/>
        <v>17559</v>
      </c>
      <c r="AV91" s="47">
        <f t="shared" si="40"/>
        <v>0.65810000000000002</v>
      </c>
      <c r="AW91" s="47">
        <f t="shared" si="61"/>
        <v>6581</v>
      </c>
      <c r="AX91" s="47">
        <f t="shared" si="41"/>
        <v>44.901000000000003</v>
      </c>
      <c r="AY91" s="47"/>
      <c r="AZ91" s="67">
        <v>1740</v>
      </c>
      <c r="BA91" s="54">
        <v>1E-4</v>
      </c>
      <c r="BB91" s="55" t="s">
        <v>218</v>
      </c>
      <c r="BC91" s="51">
        <f t="shared" si="62"/>
        <v>427.71199999999999</v>
      </c>
      <c r="BD91" s="47">
        <f t="shared" si="33"/>
        <v>47.04</v>
      </c>
      <c r="BE91" s="47">
        <f t="shared" si="63"/>
        <v>27.672000000000001</v>
      </c>
      <c r="BF91" s="47">
        <v>23060</v>
      </c>
      <c r="BG91" s="56">
        <v>353</v>
      </c>
      <c r="BH91" s="47"/>
      <c r="BI91" s="51">
        <f t="shared" si="42"/>
        <v>817.01319999999998</v>
      </c>
      <c r="BJ91" s="51">
        <f t="shared" si="43"/>
        <v>0</v>
      </c>
      <c r="BK91" s="47"/>
      <c r="BL91" s="47"/>
      <c r="BM91" s="47"/>
      <c r="BN91" s="47"/>
      <c r="BO91" s="47"/>
      <c r="BP91" s="68">
        <v>3.4632000000000001</v>
      </c>
      <c r="BQ91" s="47"/>
      <c r="BR91" s="47"/>
      <c r="BS91" s="53"/>
      <c r="BT91" s="47"/>
      <c r="BU91" s="47"/>
      <c r="BV91" s="47"/>
      <c r="BW91" s="68">
        <f>783.55+30</f>
        <v>813.55</v>
      </c>
      <c r="BX91" s="47">
        <f>1948.34+190+50</f>
        <v>2188.34</v>
      </c>
      <c r="BY91" s="47"/>
      <c r="BZ91" s="47">
        <v>8078.41</v>
      </c>
      <c r="CA91" s="47"/>
      <c r="CB91" s="54">
        <f t="shared" si="44"/>
        <v>13847.7104</v>
      </c>
      <c r="CC91" s="47"/>
      <c r="CD91" s="57"/>
      <c r="CE91" s="47"/>
      <c r="CF91" s="47">
        <f t="shared" si="45"/>
        <v>13847.7104</v>
      </c>
    </row>
    <row r="92" spans="1:84" ht="14.25" customHeight="1">
      <c r="A92" s="47">
        <v>85</v>
      </c>
      <c r="B92" s="47" t="s">
        <v>129</v>
      </c>
      <c r="C92" s="48">
        <v>415001</v>
      </c>
      <c r="D92" s="49" t="s">
        <v>219</v>
      </c>
      <c r="E92" s="49" t="s">
        <v>150</v>
      </c>
      <c r="F92" s="50">
        <f t="shared" si="46"/>
        <v>76</v>
      </c>
      <c r="G92" s="50"/>
      <c r="H92" s="50"/>
      <c r="I92" s="50">
        <v>76</v>
      </c>
      <c r="J92" s="50"/>
      <c r="K92" s="50"/>
      <c r="L92" s="50"/>
      <c r="M92" s="50"/>
      <c r="N92" s="50">
        <v>29</v>
      </c>
      <c r="O92" s="50">
        <f t="shared" si="47"/>
        <v>105</v>
      </c>
      <c r="P92" s="51">
        <f t="shared" si="34"/>
        <v>805.80809999999997</v>
      </c>
      <c r="Q92" s="51">
        <f t="shared" si="35"/>
        <v>731.19209999999998</v>
      </c>
      <c r="R92" s="47">
        <f t="shared" si="48"/>
        <v>261718</v>
      </c>
      <c r="S92" s="58"/>
      <c r="T92" s="51">
        <v>261718</v>
      </c>
      <c r="U92" s="47">
        <v>314.06240000000003</v>
      </c>
      <c r="V92" s="51">
        <f t="shared" si="2"/>
        <v>0</v>
      </c>
      <c r="W92" s="47">
        <f t="shared" si="50"/>
        <v>0</v>
      </c>
      <c r="X92" s="47"/>
      <c r="Y92" s="47"/>
      <c r="Z92" s="47"/>
      <c r="AA92" s="47"/>
      <c r="AB92" s="51">
        <f t="shared" si="51"/>
        <v>0</v>
      </c>
      <c r="AC92" s="47">
        <f t="shared" si="52"/>
        <v>0</v>
      </c>
      <c r="AD92" s="47"/>
      <c r="AE92" s="47"/>
      <c r="AF92" s="47"/>
      <c r="AG92" s="47">
        <v>91200</v>
      </c>
      <c r="AH92" s="47"/>
      <c r="AI92" s="47">
        <v>195.286</v>
      </c>
      <c r="AJ92" s="53">
        <v>98.29</v>
      </c>
      <c r="AK92" s="53">
        <v>992318</v>
      </c>
      <c r="AL92" s="47"/>
      <c r="AM92" s="47">
        <v>43.254100000000001</v>
      </c>
      <c r="AN92" s="47">
        <v>40.722499999999997</v>
      </c>
      <c r="AO92" s="47">
        <v>410782</v>
      </c>
      <c r="AP92" s="47">
        <v>2.5316000000000001</v>
      </c>
      <c r="AQ92" s="47">
        <v>25538</v>
      </c>
      <c r="AR92" s="47"/>
      <c r="AS92" s="47">
        <v>6.5820999999999996</v>
      </c>
      <c r="AT92" s="47">
        <v>3.0379</v>
      </c>
      <c r="AU92" s="47">
        <v>30646</v>
      </c>
      <c r="AV92" s="47">
        <v>3.5442</v>
      </c>
      <c r="AW92" s="47">
        <v>35753</v>
      </c>
      <c r="AX92" s="47">
        <v>73.717500000000001</v>
      </c>
      <c r="AY92" s="47"/>
      <c r="AZ92" s="47"/>
      <c r="BA92" s="54">
        <v>1E-4</v>
      </c>
      <c r="BB92" s="55" t="s">
        <v>219</v>
      </c>
      <c r="BC92" s="51">
        <f t="shared" si="62"/>
        <v>72.959999999999994</v>
      </c>
      <c r="BD92" s="47">
        <f t="shared" si="33"/>
        <v>72.959999999999994</v>
      </c>
      <c r="BE92" s="47">
        <f t="shared" si="63"/>
        <v>0</v>
      </c>
      <c r="BF92" s="47"/>
      <c r="BG92" s="56"/>
      <c r="BH92" s="47"/>
      <c r="BI92" s="51">
        <f t="shared" si="42"/>
        <v>1.6559999999999999</v>
      </c>
      <c r="BJ92" s="51">
        <f t="shared" si="43"/>
        <v>0</v>
      </c>
      <c r="BK92" s="47"/>
      <c r="BL92" s="47"/>
      <c r="BM92" s="47"/>
      <c r="BN92" s="47"/>
      <c r="BO92" s="47"/>
      <c r="BP92" s="68">
        <v>1.6559999999999999</v>
      </c>
      <c r="BQ92" s="47"/>
      <c r="BR92" s="47"/>
      <c r="BS92" s="53"/>
      <c r="BT92" s="47"/>
      <c r="BU92" s="47"/>
      <c r="BV92" s="47"/>
      <c r="BW92" s="47"/>
      <c r="BX92" s="47">
        <v>287</v>
      </c>
      <c r="BY92" s="47"/>
      <c r="BZ92" s="47">
        <v>421.56</v>
      </c>
      <c r="CA92" s="47"/>
      <c r="CB92" s="54">
        <f t="shared" si="44"/>
        <v>1514.3680999999999</v>
      </c>
      <c r="CC92" s="47"/>
      <c r="CD92" s="57"/>
      <c r="CE92" s="47">
        <v>1569</v>
      </c>
      <c r="CF92" s="47">
        <f t="shared" si="45"/>
        <v>3083.3680999999997</v>
      </c>
    </row>
    <row r="93" spans="1:84" ht="14.25" customHeight="1">
      <c r="A93" s="47">
        <v>86</v>
      </c>
      <c r="B93" s="47" t="s">
        <v>129</v>
      </c>
      <c r="C93" s="48">
        <v>414001</v>
      </c>
      <c r="D93" s="49" t="s">
        <v>220</v>
      </c>
      <c r="E93" s="49" t="s">
        <v>150</v>
      </c>
      <c r="F93" s="50">
        <f t="shared" si="46"/>
        <v>103</v>
      </c>
      <c r="G93" s="50"/>
      <c r="H93" s="50"/>
      <c r="I93" s="50">
        <v>95</v>
      </c>
      <c r="J93" s="50">
        <v>8</v>
      </c>
      <c r="K93" s="50"/>
      <c r="L93" s="50"/>
      <c r="M93" s="50"/>
      <c r="N93" s="50">
        <v>20</v>
      </c>
      <c r="O93" s="50">
        <f t="shared" si="47"/>
        <v>123</v>
      </c>
      <c r="P93" s="51">
        <f t="shared" si="34"/>
        <v>1175.9209000000001</v>
      </c>
      <c r="Q93" s="51">
        <f t="shared" si="35"/>
        <v>1019.5249</v>
      </c>
      <c r="R93" s="47">
        <f t="shared" si="48"/>
        <v>369035</v>
      </c>
      <c r="S93" s="58"/>
      <c r="T93" s="51">
        <v>369035</v>
      </c>
      <c r="U93" s="47">
        <f t="shared" si="49"/>
        <v>442.84199999999998</v>
      </c>
      <c r="V93" s="51">
        <f t="shared" si="2"/>
        <v>0</v>
      </c>
      <c r="W93" s="47">
        <f t="shared" si="50"/>
        <v>0</v>
      </c>
      <c r="X93" s="47"/>
      <c r="Y93" s="47"/>
      <c r="Z93" s="47"/>
      <c r="AA93" s="47"/>
      <c r="AB93" s="51">
        <f t="shared" ref="AB93:AB156" si="64">SUM(AC93:AF93)</f>
        <v>0</v>
      </c>
      <c r="AC93" s="47">
        <f t="shared" si="52"/>
        <v>0</v>
      </c>
      <c r="AD93" s="47"/>
      <c r="AE93" s="47"/>
      <c r="AF93" s="47"/>
      <c r="AG93" s="47">
        <f>103*1200</f>
        <v>123600</v>
      </c>
      <c r="AH93" s="47"/>
      <c r="AI93" s="47">
        <f t="shared" si="54"/>
        <v>266.77</v>
      </c>
      <c r="AJ93" s="53">
        <v>137.26910000000001</v>
      </c>
      <c r="AK93" s="53">
        <v>1372691</v>
      </c>
      <c r="AL93" s="47"/>
      <c r="AM93" s="47">
        <v>60.466999999999999</v>
      </c>
      <c r="AN93" s="47">
        <v>56.918999999999997</v>
      </c>
      <c r="AO93" s="47">
        <v>569190</v>
      </c>
      <c r="AP93" s="47">
        <v>3.5480999999999998</v>
      </c>
      <c r="AQ93" s="47">
        <v>35481</v>
      </c>
      <c r="AR93" s="47"/>
      <c r="AS93" s="47">
        <v>9.2249999999999996</v>
      </c>
      <c r="AT93" s="47">
        <v>4.2576999999999998</v>
      </c>
      <c r="AU93" s="47">
        <v>42577</v>
      </c>
      <c r="AV93" s="47">
        <v>4.9672999999999998</v>
      </c>
      <c r="AW93" s="47">
        <v>49673</v>
      </c>
      <c r="AX93" s="47">
        <v>102.95180000000001</v>
      </c>
      <c r="AY93" s="47"/>
      <c r="AZ93" s="47"/>
      <c r="BA93" s="54">
        <v>1E-4</v>
      </c>
      <c r="BB93" s="55" t="s">
        <v>220</v>
      </c>
      <c r="BC93" s="51">
        <f t="shared" si="62"/>
        <v>155.88</v>
      </c>
      <c r="BD93" s="47">
        <f t="shared" si="33"/>
        <v>98.88</v>
      </c>
      <c r="BE93" s="47">
        <f t="shared" si="63"/>
        <v>0</v>
      </c>
      <c r="BF93" s="47"/>
      <c r="BG93" s="56">
        <v>57</v>
      </c>
      <c r="BH93" s="47"/>
      <c r="BI93" s="51">
        <f t="shared" si="42"/>
        <v>0.51600000000000001</v>
      </c>
      <c r="BJ93" s="51">
        <f t="shared" si="43"/>
        <v>0</v>
      </c>
      <c r="BK93" s="47"/>
      <c r="BL93" s="47"/>
      <c r="BM93" s="47"/>
      <c r="BN93" s="47"/>
      <c r="BO93" s="47"/>
      <c r="BP93" s="68">
        <v>0.51600000000000001</v>
      </c>
      <c r="BQ93" s="47"/>
      <c r="BR93" s="47"/>
      <c r="BS93" s="53"/>
      <c r="BT93" s="47"/>
      <c r="BU93" s="47"/>
      <c r="BV93" s="47"/>
      <c r="BW93" s="47"/>
      <c r="BX93" s="47">
        <v>180.97</v>
      </c>
      <c r="BY93" s="47"/>
      <c r="BZ93" s="47">
        <v>189.34</v>
      </c>
      <c r="CA93" s="47"/>
      <c r="CB93" s="54">
        <f t="shared" si="44"/>
        <v>1546.2309</v>
      </c>
      <c r="CC93" s="47"/>
      <c r="CD93" s="57"/>
      <c r="CE93" s="47">
        <v>1774.5</v>
      </c>
      <c r="CF93" s="47">
        <f t="shared" si="45"/>
        <v>3320.7309</v>
      </c>
    </row>
    <row r="94" spans="1:84" ht="14.25" customHeight="1">
      <c r="A94" s="47">
        <v>87</v>
      </c>
      <c r="B94" s="47" t="s">
        <v>129</v>
      </c>
      <c r="C94" s="48">
        <v>407001</v>
      </c>
      <c r="D94" s="49" t="s">
        <v>221</v>
      </c>
      <c r="E94" s="49" t="s">
        <v>141</v>
      </c>
      <c r="F94" s="50">
        <f t="shared" si="46"/>
        <v>51</v>
      </c>
      <c r="G94" s="50">
        <v>9</v>
      </c>
      <c r="H94" s="50"/>
      <c r="I94" s="50">
        <v>15</v>
      </c>
      <c r="J94" s="50">
        <v>27</v>
      </c>
      <c r="K94" s="50"/>
      <c r="L94" s="50"/>
      <c r="M94" s="50"/>
      <c r="N94" s="50">
        <v>12</v>
      </c>
      <c r="O94" s="50">
        <f t="shared" si="47"/>
        <v>63</v>
      </c>
      <c r="P94" s="51">
        <f t="shared" si="34"/>
        <v>699.53159999999991</v>
      </c>
      <c r="Q94" s="51">
        <f t="shared" si="35"/>
        <v>524.41559999999993</v>
      </c>
      <c r="R94" s="47">
        <f t="shared" si="48"/>
        <v>149504</v>
      </c>
      <c r="S94" s="58">
        <v>29619</v>
      </c>
      <c r="T94" s="51">
        <v>119885</v>
      </c>
      <c r="U94" s="47">
        <f t="shared" si="49"/>
        <v>179.40479999999999</v>
      </c>
      <c r="V94" s="51">
        <f t="shared" si="2"/>
        <v>20.25</v>
      </c>
      <c r="W94" s="47">
        <f t="shared" si="50"/>
        <v>20.25</v>
      </c>
      <c r="X94" s="47"/>
      <c r="Y94" s="47"/>
      <c r="Z94" s="47"/>
      <c r="AA94" s="47"/>
      <c r="AB94" s="51">
        <f t="shared" si="64"/>
        <v>77.885099999999994</v>
      </c>
      <c r="AC94" s="47">
        <f t="shared" si="52"/>
        <v>2.9619</v>
      </c>
      <c r="AD94" s="47"/>
      <c r="AE94" s="47"/>
      <c r="AF94" s="47">
        <f t="shared" si="53"/>
        <v>74.923199999999994</v>
      </c>
      <c r="AG94" s="47">
        <v>62436</v>
      </c>
      <c r="AH94" s="47"/>
      <c r="AI94" s="47">
        <f t="shared" si="54"/>
        <v>108.78</v>
      </c>
      <c r="AJ94" s="53">
        <f t="shared" si="55"/>
        <v>61.811199999999999</v>
      </c>
      <c r="AK94" s="53">
        <f t="shared" si="56"/>
        <v>618112</v>
      </c>
      <c r="AL94" s="47"/>
      <c r="AM94" s="47">
        <f t="shared" si="36"/>
        <v>26.306999999999999</v>
      </c>
      <c r="AN94" s="47">
        <f t="shared" si="37"/>
        <v>24.764800000000001</v>
      </c>
      <c r="AO94" s="47">
        <f t="shared" si="57"/>
        <v>247648</v>
      </c>
      <c r="AP94" s="47">
        <f t="shared" si="38"/>
        <v>1.5422</v>
      </c>
      <c r="AQ94" s="47">
        <f t="shared" si="58"/>
        <v>15422</v>
      </c>
      <c r="AR94" s="47"/>
      <c r="AS94" s="47">
        <f t="shared" si="59"/>
        <v>3.6191</v>
      </c>
      <c r="AT94" s="47">
        <f t="shared" si="39"/>
        <v>1.8506</v>
      </c>
      <c r="AU94" s="47">
        <f t="shared" si="60"/>
        <v>18506</v>
      </c>
      <c r="AV94" s="47">
        <f t="shared" si="40"/>
        <v>1.7685</v>
      </c>
      <c r="AW94" s="47">
        <f t="shared" si="61"/>
        <v>17685</v>
      </c>
      <c r="AX94" s="47">
        <f t="shared" si="41"/>
        <v>46.358400000000003</v>
      </c>
      <c r="AY94" s="47"/>
      <c r="AZ94" s="47"/>
      <c r="BA94" s="54">
        <v>1E-4</v>
      </c>
      <c r="BB94" s="55" t="s">
        <v>221</v>
      </c>
      <c r="BC94" s="51">
        <f t="shared" si="62"/>
        <v>173.46</v>
      </c>
      <c r="BD94" s="47">
        <f t="shared" si="33"/>
        <v>51.12</v>
      </c>
      <c r="BE94" s="47">
        <f t="shared" si="63"/>
        <v>32.340000000000003</v>
      </c>
      <c r="BF94" s="47">
        <v>26950</v>
      </c>
      <c r="BG94" s="56">
        <v>81</v>
      </c>
      <c r="BH94" s="47">
        <v>9</v>
      </c>
      <c r="BI94" s="51">
        <f t="shared" si="42"/>
        <v>1.6559999999999999</v>
      </c>
      <c r="BJ94" s="51">
        <f t="shared" si="43"/>
        <v>0</v>
      </c>
      <c r="BK94" s="47"/>
      <c r="BL94" s="47"/>
      <c r="BM94" s="47"/>
      <c r="BN94" s="47"/>
      <c r="BO94" s="47"/>
      <c r="BP94" s="68">
        <v>1.6559999999999999</v>
      </c>
      <c r="BQ94" s="47"/>
      <c r="BR94" s="47"/>
      <c r="BS94" s="53"/>
      <c r="BT94" s="47"/>
      <c r="BU94" s="47"/>
      <c r="BV94" s="47"/>
      <c r="BW94" s="47"/>
      <c r="BX94" s="47">
        <v>98</v>
      </c>
      <c r="BY94" s="47"/>
      <c r="BZ94" s="47"/>
      <c r="CA94" s="47"/>
      <c r="CB94" s="54">
        <f t="shared" si="44"/>
        <v>797.53159999999991</v>
      </c>
      <c r="CC94" s="47"/>
      <c r="CD94" s="57"/>
      <c r="CE94" s="47"/>
      <c r="CF94" s="47">
        <f t="shared" si="45"/>
        <v>797.53159999999991</v>
      </c>
    </row>
    <row r="95" spans="1:84" ht="14.25" customHeight="1">
      <c r="A95" s="47">
        <v>88</v>
      </c>
      <c r="B95" s="47" t="s">
        <v>129</v>
      </c>
      <c r="C95" s="48">
        <v>405001</v>
      </c>
      <c r="D95" s="49" t="s">
        <v>222</v>
      </c>
      <c r="E95" s="49" t="s">
        <v>143</v>
      </c>
      <c r="F95" s="50">
        <f t="shared" si="46"/>
        <v>8</v>
      </c>
      <c r="G95" s="50">
        <v>7</v>
      </c>
      <c r="H95" s="50">
        <v>1</v>
      </c>
      <c r="I95" s="50"/>
      <c r="J95" s="50"/>
      <c r="K95" s="50"/>
      <c r="L95" s="50"/>
      <c r="M95" s="50"/>
      <c r="N95" s="50"/>
      <c r="O95" s="50">
        <f t="shared" si="47"/>
        <v>8</v>
      </c>
      <c r="P95" s="51">
        <f t="shared" si="34"/>
        <v>211.2371</v>
      </c>
      <c r="Q95" s="51">
        <f t="shared" si="35"/>
        <v>93.589100000000002</v>
      </c>
      <c r="R95" s="47">
        <f t="shared" si="48"/>
        <v>29017</v>
      </c>
      <c r="S95" s="58">
        <v>29017</v>
      </c>
      <c r="T95" s="51"/>
      <c r="U95" s="47">
        <f t="shared" si="49"/>
        <v>34.820399999999999</v>
      </c>
      <c r="V95" s="51">
        <f t="shared" si="2"/>
        <v>18</v>
      </c>
      <c r="W95" s="47">
        <f t="shared" si="50"/>
        <v>18</v>
      </c>
      <c r="X95" s="47"/>
      <c r="Y95" s="47"/>
      <c r="Z95" s="47"/>
      <c r="AA95" s="47"/>
      <c r="AB95" s="51">
        <f t="shared" si="64"/>
        <v>16.540900000000001</v>
      </c>
      <c r="AC95" s="47">
        <f t="shared" si="52"/>
        <v>2.9016999999999999</v>
      </c>
      <c r="AD95" s="47"/>
      <c r="AE95" s="47"/>
      <c r="AF95" s="47">
        <f t="shared" si="53"/>
        <v>13.639200000000001</v>
      </c>
      <c r="AG95" s="47">
        <v>11366</v>
      </c>
      <c r="AH95" s="47"/>
      <c r="AI95" s="47">
        <f t="shared" si="54"/>
        <v>0</v>
      </c>
      <c r="AJ95" s="53">
        <f t="shared" si="55"/>
        <v>11.097799999999999</v>
      </c>
      <c r="AK95" s="53">
        <f t="shared" si="56"/>
        <v>110978</v>
      </c>
      <c r="AL95" s="47"/>
      <c r="AM95" s="47">
        <f t="shared" si="36"/>
        <v>4.4897</v>
      </c>
      <c r="AN95" s="47">
        <f t="shared" si="37"/>
        <v>4.2256</v>
      </c>
      <c r="AO95" s="47">
        <f t="shared" si="57"/>
        <v>42256</v>
      </c>
      <c r="AP95" s="47">
        <f t="shared" si="38"/>
        <v>0.2641</v>
      </c>
      <c r="AQ95" s="47">
        <f t="shared" si="58"/>
        <v>2641</v>
      </c>
      <c r="AR95" s="47"/>
      <c r="AS95" s="47">
        <f t="shared" si="59"/>
        <v>0.31690000000000002</v>
      </c>
      <c r="AT95" s="47">
        <f t="shared" si="39"/>
        <v>0.31690000000000002</v>
      </c>
      <c r="AU95" s="47">
        <f t="shared" si="60"/>
        <v>3169</v>
      </c>
      <c r="AV95" s="47">
        <f t="shared" si="40"/>
        <v>0</v>
      </c>
      <c r="AW95" s="47">
        <f t="shared" si="61"/>
        <v>0</v>
      </c>
      <c r="AX95" s="47">
        <f t="shared" si="41"/>
        <v>8.3233999999999995</v>
      </c>
      <c r="AY95" s="47"/>
      <c r="AZ95" s="47"/>
      <c r="BA95" s="54">
        <v>1E-4</v>
      </c>
      <c r="BB95" s="55" t="s">
        <v>222</v>
      </c>
      <c r="BC95" s="51">
        <f t="shared" si="62"/>
        <v>57.647999999999996</v>
      </c>
      <c r="BD95" s="47">
        <f t="shared" si="33"/>
        <v>9.6</v>
      </c>
      <c r="BE95" s="47">
        <f t="shared" si="63"/>
        <v>6.048</v>
      </c>
      <c r="BF95" s="47">
        <v>5040</v>
      </c>
      <c r="BG95" s="56">
        <v>42</v>
      </c>
      <c r="BH95" s="47"/>
      <c r="BI95" s="51">
        <f t="shared" si="42"/>
        <v>60</v>
      </c>
      <c r="BJ95" s="51">
        <f t="shared" si="43"/>
        <v>0</v>
      </c>
      <c r="BK95" s="47"/>
      <c r="BL95" s="47"/>
      <c r="BM95" s="47"/>
      <c r="BN95" s="47"/>
      <c r="BO95" s="47"/>
      <c r="BP95" s="47"/>
      <c r="BQ95" s="47"/>
      <c r="BR95" s="47"/>
      <c r="BS95" s="53"/>
      <c r="BT95" s="47"/>
      <c r="BU95" s="47"/>
      <c r="BV95" s="47"/>
      <c r="BW95" s="68">
        <v>60</v>
      </c>
      <c r="BX95" s="47"/>
      <c r="BY95" s="47">
        <v>30</v>
      </c>
      <c r="BZ95" s="47">
        <v>15</v>
      </c>
      <c r="CA95" s="47"/>
      <c r="CB95" s="54">
        <f t="shared" si="44"/>
        <v>256.2371</v>
      </c>
      <c r="CC95" s="47"/>
      <c r="CD95" s="57"/>
      <c r="CE95" s="47"/>
      <c r="CF95" s="47">
        <f t="shared" si="45"/>
        <v>256.2371</v>
      </c>
    </row>
    <row r="96" spans="1:84" ht="14.25" customHeight="1">
      <c r="A96" s="47">
        <v>89</v>
      </c>
      <c r="B96" s="47" t="s">
        <v>129</v>
      </c>
      <c r="C96" s="48">
        <v>501001</v>
      </c>
      <c r="D96" s="49" t="s">
        <v>223</v>
      </c>
      <c r="E96" s="49" t="s">
        <v>131</v>
      </c>
      <c r="F96" s="50">
        <f t="shared" si="46"/>
        <v>103</v>
      </c>
      <c r="G96" s="50">
        <v>37</v>
      </c>
      <c r="H96" s="50">
        <v>4</v>
      </c>
      <c r="I96" s="50">
        <f>66-4</f>
        <v>62</v>
      </c>
      <c r="J96" s="50"/>
      <c r="K96" s="50"/>
      <c r="L96" s="50"/>
      <c r="M96" s="50"/>
      <c r="N96" s="50">
        <v>77</v>
      </c>
      <c r="O96" s="50">
        <f t="shared" si="47"/>
        <v>180</v>
      </c>
      <c r="P96" s="51">
        <f t="shared" si="34"/>
        <v>1760.9323999999999</v>
      </c>
      <c r="Q96" s="51">
        <f t="shared" si="35"/>
        <v>1375.5444</v>
      </c>
      <c r="R96" s="47">
        <f t="shared" si="48"/>
        <v>397954</v>
      </c>
      <c r="S96" s="58">
        <v>177761</v>
      </c>
      <c r="T96" s="51">
        <v>220193</v>
      </c>
      <c r="U96" s="47">
        <f t="shared" si="49"/>
        <v>477.54480000000001</v>
      </c>
      <c r="V96" s="51">
        <f t="shared" si="2"/>
        <v>231.25</v>
      </c>
      <c r="W96" s="47">
        <f t="shared" si="50"/>
        <v>92.25</v>
      </c>
      <c r="X96" s="47"/>
      <c r="Y96" s="47"/>
      <c r="Z96" s="47"/>
      <c r="AA96" s="47">
        <v>139</v>
      </c>
      <c r="AB96" s="51">
        <f t="shared" si="64"/>
        <v>180.97609999999997</v>
      </c>
      <c r="AC96" s="47">
        <f t="shared" si="52"/>
        <v>17.7761</v>
      </c>
      <c r="AD96" s="47"/>
      <c r="AE96" s="47"/>
      <c r="AF96" s="47">
        <f t="shared" si="53"/>
        <v>163.19999999999999</v>
      </c>
      <c r="AG96" s="47">
        <v>136000</v>
      </c>
      <c r="AH96" s="47"/>
      <c r="AI96" s="47">
        <f t="shared" si="54"/>
        <v>160.58000000000001</v>
      </c>
      <c r="AJ96" s="53">
        <f t="shared" si="55"/>
        <v>145.81610000000001</v>
      </c>
      <c r="AK96" s="53">
        <f t="shared" si="56"/>
        <v>1458161</v>
      </c>
      <c r="AL96" s="47"/>
      <c r="AM96" s="47">
        <f t="shared" si="36"/>
        <v>62.659399999999998</v>
      </c>
      <c r="AN96" s="47">
        <f t="shared" si="37"/>
        <v>59.0075</v>
      </c>
      <c r="AO96" s="47">
        <f t="shared" si="57"/>
        <v>590075</v>
      </c>
      <c r="AP96" s="47">
        <f t="shared" si="38"/>
        <v>3.6518999999999999</v>
      </c>
      <c r="AQ96" s="47">
        <f t="shared" si="58"/>
        <v>36519</v>
      </c>
      <c r="AR96" s="47"/>
      <c r="AS96" s="47">
        <f t="shared" si="59"/>
        <v>7.3559000000000001</v>
      </c>
      <c r="AT96" s="47">
        <f t="shared" si="39"/>
        <v>4.3822000000000001</v>
      </c>
      <c r="AU96" s="47">
        <f t="shared" si="60"/>
        <v>43822</v>
      </c>
      <c r="AV96" s="47">
        <f t="shared" si="40"/>
        <v>2.9737</v>
      </c>
      <c r="AW96" s="47">
        <f t="shared" si="61"/>
        <v>29737</v>
      </c>
      <c r="AX96" s="47">
        <f t="shared" si="41"/>
        <v>109.3621</v>
      </c>
      <c r="AY96" s="47"/>
      <c r="AZ96" s="67"/>
      <c r="BA96" s="54">
        <v>1E-4</v>
      </c>
      <c r="BB96" s="55" t="s">
        <v>223</v>
      </c>
      <c r="BC96" s="51">
        <f t="shared" si="62"/>
        <v>354.07600000000002</v>
      </c>
      <c r="BD96" s="47">
        <f t="shared" si="33"/>
        <v>108.72</v>
      </c>
      <c r="BE96" s="47">
        <f t="shared" si="63"/>
        <v>31.356000000000002</v>
      </c>
      <c r="BF96" s="47">
        <v>26130</v>
      </c>
      <c r="BG96" s="56">
        <v>214</v>
      </c>
      <c r="BH96" s="47"/>
      <c r="BI96" s="51">
        <f t="shared" si="42"/>
        <v>31.312000000000001</v>
      </c>
      <c r="BJ96" s="51">
        <f t="shared" si="43"/>
        <v>0</v>
      </c>
      <c r="BK96" s="47"/>
      <c r="BL96" s="47"/>
      <c r="BM96" s="47"/>
      <c r="BN96" s="47"/>
      <c r="BO96" s="47"/>
      <c r="BP96" s="68">
        <v>3.3119999999999998</v>
      </c>
      <c r="BQ96" s="47"/>
      <c r="BR96" s="47"/>
      <c r="BS96" s="53"/>
      <c r="BT96" s="47"/>
      <c r="BU96" s="47"/>
      <c r="BV96" s="47"/>
      <c r="BW96" s="47">
        <v>28</v>
      </c>
      <c r="BX96" s="47">
        <f>30+143</f>
        <v>173</v>
      </c>
      <c r="BY96" s="47"/>
      <c r="BZ96" s="47">
        <v>7065.57</v>
      </c>
      <c r="CA96" s="47"/>
      <c r="CB96" s="54">
        <f t="shared" si="44"/>
        <v>8999.5023999999994</v>
      </c>
      <c r="CC96" s="47"/>
      <c r="CD96" s="57"/>
      <c r="CE96" s="47"/>
      <c r="CF96" s="47">
        <f t="shared" si="45"/>
        <v>8999.5023999999994</v>
      </c>
    </row>
    <row r="97" spans="1:84" ht="14.25" customHeight="1">
      <c r="A97" s="47">
        <v>90</v>
      </c>
      <c r="B97" s="47" t="s">
        <v>129</v>
      </c>
      <c r="C97" s="48">
        <v>501003</v>
      </c>
      <c r="D97" s="49" t="s">
        <v>224</v>
      </c>
      <c r="E97" s="49" t="s">
        <v>141</v>
      </c>
      <c r="F97" s="50">
        <f t="shared" si="46"/>
        <v>55</v>
      </c>
      <c r="G97" s="50">
        <v>7</v>
      </c>
      <c r="H97" s="50">
        <v>5</v>
      </c>
      <c r="I97" s="50">
        <v>29</v>
      </c>
      <c r="J97" s="50">
        <v>14</v>
      </c>
      <c r="K97" s="50"/>
      <c r="L97" s="50"/>
      <c r="M97" s="50"/>
      <c r="N97" s="50">
        <v>26</v>
      </c>
      <c r="O97" s="50">
        <f t="shared" si="47"/>
        <v>81</v>
      </c>
      <c r="P97" s="51">
        <f t="shared" si="34"/>
        <v>875.81050000000005</v>
      </c>
      <c r="Q97" s="51">
        <f t="shared" si="35"/>
        <v>665.97050000000002</v>
      </c>
      <c r="R97" s="47">
        <f t="shared" si="48"/>
        <v>194053</v>
      </c>
      <c r="S97" s="58">
        <v>46540</v>
      </c>
      <c r="T97" s="51">
        <v>147513</v>
      </c>
      <c r="U97" s="47">
        <f t="shared" si="49"/>
        <v>232.86359999999999</v>
      </c>
      <c r="V97" s="51">
        <f t="shared" si="2"/>
        <v>66.66</v>
      </c>
      <c r="W97" s="47">
        <f t="shared" si="50"/>
        <v>27</v>
      </c>
      <c r="X97" s="67">
        <v>20.52</v>
      </c>
      <c r="Y97" s="47"/>
      <c r="Z97" s="47"/>
      <c r="AA97" s="67">
        <v>19.14</v>
      </c>
      <c r="AB97" s="51">
        <f t="shared" si="64"/>
        <v>90.975999999999999</v>
      </c>
      <c r="AC97" s="47">
        <f t="shared" si="52"/>
        <v>4.6539999999999999</v>
      </c>
      <c r="AD97" s="47">
        <v>4.6920000000000002</v>
      </c>
      <c r="AE97" s="47"/>
      <c r="AF97" s="47">
        <f t="shared" si="53"/>
        <v>81.63</v>
      </c>
      <c r="AG97" s="47">
        <v>68025</v>
      </c>
      <c r="AH97" s="47"/>
      <c r="AI97" s="47">
        <f t="shared" si="54"/>
        <v>111.37</v>
      </c>
      <c r="AJ97" s="53">
        <f t="shared" si="55"/>
        <v>73.202799999999996</v>
      </c>
      <c r="AK97" s="53">
        <f t="shared" si="56"/>
        <v>732028</v>
      </c>
      <c r="AL97" s="47"/>
      <c r="AM97" s="47">
        <f t="shared" si="36"/>
        <v>31.7499</v>
      </c>
      <c r="AN97" s="47">
        <f t="shared" si="37"/>
        <v>29.893699999999999</v>
      </c>
      <c r="AO97" s="47">
        <f t="shared" si="57"/>
        <v>298937</v>
      </c>
      <c r="AP97" s="47">
        <f t="shared" si="38"/>
        <v>1.8562000000000001</v>
      </c>
      <c r="AQ97" s="47">
        <f t="shared" si="58"/>
        <v>18562</v>
      </c>
      <c r="AR97" s="47"/>
      <c r="AS97" s="47">
        <f t="shared" si="59"/>
        <v>4.2461000000000002</v>
      </c>
      <c r="AT97" s="47">
        <f t="shared" si="39"/>
        <v>2.2273999999999998</v>
      </c>
      <c r="AU97" s="47">
        <f t="shared" si="60"/>
        <v>22274</v>
      </c>
      <c r="AV97" s="47">
        <f t="shared" si="40"/>
        <v>2.0186999999999999</v>
      </c>
      <c r="AW97" s="47">
        <f t="shared" si="61"/>
        <v>20187</v>
      </c>
      <c r="AX97" s="47">
        <f t="shared" si="41"/>
        <v>54.902099999999997</v>
      </c>
      <c r="AY97" s="47"/>
      <c r="AZ97" s="67"/>
      <c r="BA97" s="54">
        <v>1E-4</v>
      </c>
      <c r="BB97" s="55" t="s">
        <v>224</v>
      </c>
      <c r="BC97" s="51">
        <f t="shared" si="62"/>
        <v>199.84</v>
      </c>
      <c r="BD97" s="47">
        <f t="shared" ref="BD97:BD123" si="65">1.2*(G97+H97)+0.96*(I97+J97)</f>
        <v>55.68</v>
      </c>
      <c r="BE97" s="47">
        <f t="shared" si="63"/>
        <v>8.16</v>
      </c>
      <c r="BF97" s="47">
        <v>6800</v>
      </c>
      <c r="BG97" s="56">
        <v>136</v>
      </c>
      <c r="BH97" s="47"/>
      <c r="BI97" s="51">
        <f t="shared" si="42"/>
        <v>10</v>
      </c>
      <c r="BJ97" s="51">
        <f t="shared" si="43"/>
        <v>0</v>
      </c>
      <c r="BK97" s="47"/>
      <c r="BL97" s="47"/>
      <c r="BM97" s="47"/>
      <c r="BN97" s="47"/>
      <c r="BO97" s="47"/>
      <c r="BP97" s="47"/>
      <c r="BQ97" s="47"/>
      <c r="BR97" s="47"/>
      <c r="BS97" s="53"/>
      <c r="BT97" s="47"/>
      <c r="BU97" s="47"/>
      <c r="BV97" s="47"/>
      <c r="BW97" s="47">
        <v>10</v>
      </c>
      <c r="BX97" s="47"/>
      <c r="BY97" s="47"/>
      <c r="BZ97" s="47">
        <v>1121.0999999999999</v>
      </c>
      <c r="CA97" s="47"/>
      <c r="CB97" s="54">
        <f t="shared" si="44"/>
        <v>1996.9105</v>
      </c>
      <c r="CC97" s="47"/>
      <c r="CD97" s="57"/>
      <c r="CE97" s="47"/>
      <c r="CF97" s="47">
        <f t="shared" si="45"/>
        <v>1996.9105</v>
      </c>
    </row>
    <row r="98" spans="1:84" ht="14.25" customHeight="1">
      <c r="A98" s="47">
        <v>91</v>
      </c>
      <c r="B98" s="47" t="s">
        <v>129</v>
      </c>
      <c r="C98" s="48">
        <v>501002</v>
      </c>
      <c r="D98" s="49" t="s">
        <v>225</v>
      </c>
      <c r="E98" s="49" t="s">
        <v>141</v>
      </c>
      <c r="F98" s="50">
        <f t="shared" si="46"/>
        <v>33</v>
      </c>
      <c r="G98" s="50">
        <v>5</v>
      </c>
      <c r="H98" s="50">
        <v>2</v>
      </c>
      <c r="I98" s="50">
        <v>26</v>
      </c>
      <c r="J98" s="50"/>
      <c r="K98" s="50"/>
      <c r="L98" s="50"/>
      <c r="M98" s="50"/>
      <c r="N98" s="50">
        <v>23</v>
      </c>
      <c r="O98" s="50">
        <f t="shared" si="47"/>
        <v>56</v>
      </c>
      <c r="P98" s="51">
        <f t="shared" si="34"/>
        <v>493.15069999999997</v>
      </c>
      <c r="Q98" s="51">
        <f t="shared" si="35"/>
        <v>386.84269999999998</v>
      </c>
      <c r="R98" s="47">
        <f t="shared" si="48"/>
        <v>124342</v>
      </c>
      <c r="S98" s="58">
        <v>29979</v>
      </c>
      <c r="T98" s="51">
        <v>94363</v>
      </c>
      <c r="U98" s="47">
        <f t="shared" si="49"/>
        <v>149.21039999999999</v>
      </c>
      <c r="V98" s="51">
        <f t="shared" si="2"/>
        <v>15.75</v>
      </c>
      <c r="W98" s="47">
        <f t="shared" si="50"/>
        <v>15.75</v>
      </c>
      <c r="X98" s="47"/>
      <c r="Y98" s="47"/>
      <c r="Z98" s="47"/>
      <c r="AA98" s="47"/>
      <c r="AB98" s="51">
        <f t="shared" si="64"/>
        <v>52.283100000000005</v>
      </c>
      <c r="AC98" s="47">
        <f t="shared" si="52"/>
        <v>2.9979</v>
      </c>
      <c r="AD98" s="47"/>
      <c r="AE98" s="47"/>
      <c r="AF98" s="47">
        <f t="shared" si="53"/>
        <v>49.285200000000003</v>
      </c>
      <c r="AG98" s="47">
        <v>41071</v>
      </c>
      <c r="AH98" s="47"/>
      <c r="AI98" s="47">
        <f t="shared" si="54"/>
        <v>67.34</v>
      </c>
      <c r="AJ98" s="53">
        <f t="shared" si="55"/>
        <v>45.5334</v>
      </c>
      <c r="AK98" s="53">
        <f t="shared" si="56"/>
        <v>455334</v>
      </c>
      <c r="AL98" s="47"/>
      <c r="AM98" s="47">
        <f t="shared" si="36"/>
        <v>19.917999999999999</v>
      </c>
      <c r="AN98" s="47">
        <f t="shared" si="37"/>
        <v>18.756499999999999</v>
      </c>
      <c r="AO98" s="47">
        <f t="shared" si="57"/>
        <v>187565</v>
      </c>
      <c r="AP98" s="47">
        <f t="shared" si="38"/>
        <v>1.1615</v>
      </c>
      <c r="AQ98" s="47">
        <f t="shared" si="58"/>
        <v>11615</v>
      </c>
      <c r="AR98" s="47"/>
      <c r="AS98" s="47">
        <f t="shared" si="59"/>
        <v>2.6577999999999999</v>
      </c>
      <c r="AT98" s="47">
        <f t="shared" si="39"/>
        <v>1.3937999999999999</v>
      </c>
      <c r="AU98" s="47">
        <f t="shared" si="60"/>
        <v>13938</v>
      </c>
      <c r="AV98" s="47">
        <f t="shared" si="40"/>
        <v>1.264</v>
      </c>
      <c r="AW98" s="47">
        <f t="shared" si="61"/>
        <v>12640</v>
      </c>
      <c r="AX98" s="47">
        <f t="shared" si="41"/>
        <v>34.15</v>
      </c>
      <c r="AY98" s="47"/>
      <c r="AZ98" s="47"/>
      <c r="BA98" s="54">
        <v>1E-4</v>
      </c>
      <c r="BB98" s="55" t="s">
        <v>225</v>
      </c>
      <c r="BC98" s="51">
        <f t="shared" si="62"/>
        <v>101.34</v>
      </c>
      <c r="BD98" s="47">
        <f t="shared" si="65"/>
        <v>33.36</v>
      </c>
      <c r="BE98" s="47">
        <f t="shared" si="63"/>
        <v>4.9800000000000004</v>
      </c>
      <c r="BF98" s="47">
        <v>4150</v>
      </c>
      <c r="BG98" s="56">
        <v>63</v>
      </c>
      <c r="BH98" s="47"/>
      <c r="BI98" s="51">
        <f t="shared" si="42"/>
        <v>4.968</v>
      </c>
      <c r="BJ98" s="51">
        <f t="shared" si="43"/>
        <v>0</v>
      </c>
      <c r="BK98" s="47"/>
      <c r="BL98" s="47"/>
      <c r="BM98" s="47"/>
      <c r="BN98" s="47"/>
      <c r="BO98" s="47"/>
      <c r="BP98" s="68">
        <v>4.968</v>
      </c>
      <c r="BQ98" s="47"/>
      <c r="BR98" s="47"/>
      <c r="BS98" s="53"/>
      <c r="BT98" s="47"/>
      <c r="BU98" s="47"/>
      <c r="BV98" s="47"/>
      <c r="BW98" s="47"/>
      <c r="BX98" s="47">
        <v>45</v>
      </c>
      <c r="BY98" s="47"/>
      <c r="BZ98" s="47">
        <v>641.99</v>
      </c>
      <c r="CA98" s="47"/>
      <c r="CB98" s="54">
        <f t="shared" si="44"/>
        <v>1180.1406999999999</v>
      </c>
      <c r="CC98" s="47"/>
      <c r="CD98" s="57"/>
      <c r="CE98" s="47"/>
      <c r="CF98" s="47">
        <f t="shared" si="45"/>
        <v>1180.1406999999999</v>
      </c>
    </row>
    <row r="99" spans="1:84" ht="14.25" customHeight="1">
      <c r="A99" s="47">
        <v>92</v>
      </c>
      <c r="B99" s="47" t="s">
        <v>129</v>
      </c>
      <c r="C99" s="48">
        <v>501005</v>
      </c>
      <c r="D99" s="49" t="s">
        <v>226</v>
      </c>
      <c r="E99" s="49" t="s">
        <v>141</v>
      </c>
      <c r="F99" s="50">
        <f t="shared" si="46"/>
        <v>14</v>
      </c>
      <c r="G99" s="50">
        <v>14</v>
      </c>
      <c r="H99" s="50"/>
      <c r="I99" s="50"/>
      <c r="J99" s="50"/>
      <c r="K99" s="50"/>
      <c r="L99" s="50"/>
      <c r="M99" s="50"/>
      <c r="N99" s="50">
        <v>8</v>
      </c>
      <c r="O99" s="50">
        <f t="shared" si="47"/>
        <v>22</v>
      </c>
      <c r="P99" s="51">
        <f t="shared" si="34"/>
        <v>255.92140000000001</v>
      </c>
      <c r="Q99" s="51">
        <f t="shared" si="35"/>
        <v>166.45340000000002</v>
      </c>
      <c r="R99" s="47">
        <f t="shared" si="48"/>
        <v>51680</v>
      </c>
      <c r="S99" s="58">
        <v>51680</v>
      </c>
      <c r="T99" s="51"/>
      <c r="U99" s="47">
        <f t="shared" si="49"/>
        <v>62.015999999999998</v>
      </c>
      <c r="V99" s="51">
        <f t="shared" si="2"/>
        <v>31.5</v>
      </c>
      <c r="W99" s="47">
        <f t="shared" si="50"/>
        <v>31.5</v>
      </c>
      <c r="X99" s="47"/>
      <c r="Y99" s="47"/>
      <c r="Z99" s="47"/>
      <c r="AA99" s="47"/>
      <c r="AB99" s="51">
        <f t="shared" si="64"/>
        <v>29.830400000000001</v>
      </c>
      <c r="AC99" s="47">
        <f t="shared" si="52"/>
        <v>5.1680000000000001</v>
      </c>
      <c r="AD99" s="47"/>
      <c r="AE99" s="47"/>
      <c r="AF99" s="47">
        <f t="shared" si="53"/>
        <v>24.662400000000002</v>
      </c>
      <c r="AG99" s="47">
        <v>20552</v>
      </c>
      <c r="AH99" s="47"/>
      <c r="AI99" s="47">
        <f t="shared" si="54"/>
        <v>0</v>
      </c>
      <c r="AJ99" s="53">
        <f t="shared" si="55"/>
        <v>19.735399999999998</v>
      </c>
      <c r="AK99" s="53">
        <f t="shared" si="56"/>
        <v>197353.99999999997</v>
      </c>
      <c r="AL99" s="47"/>
      <c r="AM99" s="47">
        <f t="shared" si="36"/>
        <v>8.0089000000000006</v>
      </c>
      <c r="AN99" s="47">
        <f t="shared" si="37"/>
        <v>7.5412999999999997</v>
      </c>
      <c r="AO99" s="47">
        <f t="shared" si="57"/>
        <v>75413</v>
      </c>
      <c r="AP99" s="47">
        <f t="shared" si="38"/>
        <v>0.46760000000000002</v>
      </c>
      <c r="AQ99" s="47">
        <f t="shared" si="58"/>
        <v>4676</v>
      </c>
      <c r="AR99" s="47"/>
      <c r="AS99" s="47">
        <f t="shared" si="59"/>
        <v>0.56110000000000004</v>
      </c>
      <c r="AT99" s="47">
        <f t="shared" si="39"/>
        <v>0.56110000000000004</v>
      </c>
      <c r="AU99" s="47">
        <f t="shared" si="60"/>
        <v>5611</v>
      </c>
      <c r="AV99" s="47">
        <f t="shared" si="40"/>
        <v>0</v>
      </c>
      <c r="AW99" s="47">
        <f t="shared" si="61"/>
        <v>0</v>
      </c>
      <c r="AX99" s="47">
        <f t="shared" si="41"/>
        <v>14.801600000000001</v>
      </c>
      <c r="AY99" s="47"/>
      <c r="AZ99" s="47"/>
      <c r="BA99" s="54">
        <v>1E-4</v>
      </c>
      <c r="BB99" s="55" t="s">
        <v>226</v>
      </c>
      <c r="BC99" s="51">
        <f t="shared" si="62"/>
        <v>89.468000000000004</v>
      </c>
      <c r="BD99" s="47">
        <f t="shared" si="65"/>
        <v>16.8</v>
      </c>
      <c r="BE99" s="47">
        <f t="shared" si="63"/>
        <v>10.667999999999999</v>
      </c>
      <c r="BF99" s="47">
        <v>8890</v>
      </c>
      <c r="BG99" s="56">
        <v>62</v>
      </c>
      <c r="BH99" s="47"/>
      <c r="BI99" s="51">
        <f t="shared" si="42"/>
        <v>0</v>
      </c>
      <c r="BJ99" s="51">
        <f t="shared" si="43"/>
        <v>0</v>
      </c>
      <c r="BK99" s="47"/>
      <c r="BL99" s="47"/>
      <c r="BM99" s="47"/>
      <c r="BN99" s="47"/>
      <c r="BO99" s="47"/>
      <c r="BP99" s="47"/>
      <c r="BQ99" s="47"/>
      <c r="BR99" s="47"/>
      <c r="BS99" s="53"/>
      <c r="BT99" s="47"/>
      <c r="BU99" s="47"/>
      <c r="BV99" s="47"/>
      <c r="BW99" s="47"/>
      <c r="BX99" s="47"/>
      <c r="BY99" s="47"/>
      <c r="BZ99" s="47">
        <v>672</v>
      </c>
      <c r="CA99" s="47"/>
      <c r="CB99" s="54">
        <f t="shared" si="44"/>
        <v>927.92139999999995</v>
      </c>
      <c r="CC99" s="47"/>
      <c r="CD99" s="57"/>
      <c r="CE99" s="47"/>
      <c r="CF99" s="47">
        <f t="shared" si="45"/>
        <v>927.92139999999995</v>
      </c>
    </row>
    <row r="100" spans="1:84" ht="14.25" customHeight="1">
      <c r="A100" s="47">
        <v>93</v>
      </c>
      <c r="B100" s="47" t="s">
        <v>129</v>
      </c>
      <c r="C100" s="48">
        <v>501006</v>
      </c>
      <c r="D100" s="49" t="s">
        <v>227</v>
      </c>
      <c r="E100" s="49" t="s">
        <v>150</v>
      </c>
      <c r="F100" s="50">
        <f t="shared" si="46"/>
        <v>18</v>
      </c>
      <c r="G100" s="50">
        <v>3</v>
      </c>
      <c r="H100" s="50"/>
      <c r="I100" s="50">
        <f>11+4</f>
        <v>15</v>
      </c>
      <c r="J100" s="50"/>
      <c r="K100" s="50"/>
      <c r="L100" s="50"/>
      <c r="M100" s="50"/>
      <c r="N100" s="50"/>
      <c r="O100" s="50">
        <f t="shared" si="47"/>
        <v>18</v>
      </c>
      <c r="P100" s="51">
        <f t="shared" si="34"/>
        <v>280.45579999999995</v>
      </c>
      <c r="Q100" s="51">
        <f t="shared" si="35"/>
        <v>207.29579999999999</v>
      </c>
      <c r="R100" s="47">
        <f t="shared" si="48"/>
        <v>65927</v>
      </c>
      <c r="S100" s="58">
        <v>10172</v>
      </c>
      <c r="T100" s="51">
        <v>55755</v>
      </c>
      <c r="U100" s="47">
        <f t="shared" si="49"/>
        <v>79.112399999999994</v>
      </c>
      <c r="V100" s="51">
        <f t="shared" si="2"/>
        <v>6.75</v>
      </c>
      <c r="W100" s="47">
        <f t="shared" si="50"/>
        <v>6.75</v>
      </c>
      <c r="X100" s="47"/>
      <c r="Y100" s="47"/>
      <c r="Z100" s="47"/>
      <c r="AA100" s="47"/>
      <c r="AB100" s="51">
        <f t="shared" si="64"/>
        <v>27.7928</v>
      </c>
      <c r="AC100" s="47">
        <f t="shared" si="52"/>
        <v>1.0172000000000001</v>
      </c>
      <c r="AD100" s="47"/>
      <c r="AE100" s="47"/>
      <c r="AF100" s="47">
        <f t="shared" si="53"/>
        <v>26.775600000000001</v>
      </c>
      <c r="AG100" s="47">
        <v>22313</v>
      </c>
      <c r="AH100" s="47"/>
      <c r="AI100" s="47">
        <f t="shared" si="54"/>
        <v>38.85</v>
      </c>
      <c r="AJ100" s="53">
        <f t="shared" si="55"/>
        <v>24.4008</v>
      </c>
      <c r="AK100" s="53">
        <f t="shared" si="56"/>
        <v>244008</v>
      </c>
      <c r="AL100" s="47"/>
      <c r="AM100" s="47">
        <f t="shared" si="36"/>
        <v>10.6006</v>
      </c>
      <c r="AN100" s="47">
        <f t="shared" si="37"/>
        <v>9.9770000000000003</v>
      </c>
      <c r="AO100" s="47">
        <f t="shared" si="57"/>
        <v>99770</v>
      </c>
      <c r="AP100" s="47">
        <f t="shared" si="38"/>
        <v>0.62360000000000004</v>
      </c>
      <c r="AQ100" s="47">
        <f t="shared" si="58"/>
        <v>6236</v>
      </c>
      <c r="AR100" s="47"/>
      <c r="AS100" s="47">
        <f t="shared" si="59"/>
        <v>1.4885999999999999</v>
      </c>
      <c r="AT100" s="47">
        <f t="shared" si="39"/>
        <v>0.74829999999999997</v>
      </c>
      <c r="AU100" s="47">
        <f t="shared" si="60"/>
        <v>7483</v>
      </c>
      <c r="AV100" s="47">
        <f t="shared" si="40"/>
        <v>0.74029999999999996</v>
      </c>
      <c r="AW100" s="47">
        <f t="shared" si="61"/>
        <v>7403</v>
      </c>
      <c r="AX100" s="47">
        <f t="shared" si="41"/>
        <v>18.300599999999999</v>
      </c>
      <c r="AY100" s="47"/>
      <c r="AZ100" s="47"/>
      <c r="BA100" s="54">
        <v>1E-4</v>
      </c>
      <c r="BB100" s="55" t="s">
        <v>227</v>
      </c>
      <c r="BC100" s="51">
        <f t="shared" si="62"/>
        <v>73.16</v>
      </c>
      <c r="BD100" s="47">
        <f t="shared" si="65"/>
        <v>18</v>
      </c>
      <c r="BE100" s="47">
        <f t="shared" si="63"/>
        <v>2.16</v>
      </c>
      <c r="BF100" s="47">
        <v>1800</v>
      </c>
      <c r="BG100" s="56">
        <v>50</v>
      </c>
      <c r="BH100" s="47">
        <v>3</v>
      </c>
      <c r="BI100" s="51">
        <f t="shared" si="42"/>
        <v>0</v>
      </c>
      <c r="BJ100" s="51">
        <f t="shared" si="43"/>
        <v>0</v>
      </c>
      <c r="BK100" s="47"/>
      <c r="BL100" s="47"/>
      <c r="BM100" s="47"/>
      <c r="BN100" s="47"/>
      <c r="BO100" s="47"/>
      <c r="BP100" s="47"/>
      <c r="BQ100" s="47"/>
      <c r="BR100" s="47"/>
      <c r="BS100" s="53"/>
      <c r="BT100" s="47"/>
      <c r="BU100" s="47"/>
      <c r="BV100" s="47"/>
      <c r="BW100" s="47"/>
      <c r="BX100" s="47">
        <v>50</v>
      </c>
      <c r="BY100" s="47"/>
      <c r="BZ100" s="47"/>
      <c r="CA100" s="47"/>
      <c r="CB100" s="54">
        <f t="shared" si="44"/>
        <v>330.45579999999995</v>
      </c>
      <c r="CC100" s="47"/>
      <c r="CD100" s="57"/>
      <c r="CE100" s="47"/>
      <c r="CF100" s="47">
        <f t="shared" si="45"/>
        <v>330.45579999999995</v>
      </c>
    </row>
    <row r="101" spans="1:84" ht="14.25" customHeight="1">
      <c r="A101" s="47">
        <v>94</v>
      </c>
      <c r="B101" s="47" t="s">
        <v>129</v>
      </c>
      <c r="C101" s="48">
        <v>504001</v>
      </c>
      <c r="D101" s="49" t="s">
        <v>228</v>
      </c>
      <c r="E101" s="49" t="s">
        <v>131</v>
      </c>
      <c r="F101" s="50">
        <f t="shared" si="46"/>
        <v>15</v>
      </c>
      <c r="G101" s="50">
        <v>10</v>
      </c>
      <c r="H101" s="50"/>
      <c r="I101" s="50">
        <v>5</v>
      </c>
      <c r="J101" s="50"/>
      <c r="K101" s="50"/>
      <c r="L101" s="50"/>
      <c r="M101" s="50"/>
      <c r="N101" s="50"/>
      <c r="O101" s="50">
        <f t="shared" si="47"/>
        <v>15</v>
      </c>
      <c r="P101" s="51">
        <f t="shared" si="34"/>
        <v>291.75890000000004</v>
      </c>
      <c r="Q101" s="51">
        <f t="shared" si="35"/>
        <v>174.17090000000002</v>
      </c>
      <c r="R101" s="47">
        <f t="shared" si="48"/>
        <v>53737</v>
      </c>
      <c r="S101" s="58">
        <v>38431</v>
      </c>
      <c r="T101" s="51">
        <v>15306</v>
      </c>
      <c r="U101" s="47">
        <f t="shared" si="49"/>
        <v>64.484399999999994</v>
      </c>
      <c r="V101" s="51">
        <f t="shared" si="2"/>
        <v>22.5</v>
      </c>
      <c r="W101" s="47">
        <f t="shared" si="50"/>
        <v>22.5</v>
      </c>
      <c r="X101" s="47"/>
      <c r="Y101" s="47"/>
      <c r="Z101" s="47"/>
      <c r="AA101" s="47"/>
      <c r="AB101" s="51">
        <f t="shared" si="64"/>
        <v>28.860700000000001</v>
      </c>
      <c r="AC101" s="47">
        <f t="shared" si="52"/>
        <v>3.8431000000000002</v>
      </c>
      <c r="AD101" s="47"/>
      <c r="AE101" s="47"/>
      <c r="AF101" s="47">
        <f t="shared" si="53"/>
        <v>25.017600000000002</v>
      </c>
      <c r="AG101" s="47">
        <v>20848</v>
      </c>
      <c r="AH101" s="47"/>
      <c r="AI101" s="47">
        <f t="shared" si="54"/>
        <v>12.95</v>
      </c>
      <c r="AJ101" s="53">
        <f t="shared" si="55"/>
        <v>20.607199999999999</v>
      </c>
      <c r="AK101" s="53">
        <f t="shared" si="56"/>
        <v>206072</v>
      </c>
      <c r="AL101" s="47"/>
      <c r="AM101" s="47">
        <f t="shared" si="36"/>
        <v>8.4944000000000006</v>
      </c>
      <c r="AN101" s="47">
        <f t="shared" si="37"/>
        <v>7.9947999999999997</v>
      </c>
      <c r="AO101" s="47">
        <f t="shared" si="57"/>
        <v>79948</v>
      </c>
      <c r="AP101" s="47">
        <f t="shared" si="38"/>
        <v>0.49969999999999998</v>
      </c>
      <c r="AQ101" s="47">
        <f t="shared" si="58"/>
        <v>4997</v>
      </c>
      <c r="AR101" s="47"/>
      <c r="AS101" s="47">
        <f t="shared" si="59"/>
        <v>0.81879999999999997</v>
      </c>
      <c r="AT101" s="47">
        <f t="shared" si="39"/>
        <v>0.59960000000000002</v>
      </c>
      <c r="AU101" s="47">
        <f t="shared" si="60"/>
        <v>5996</v>
      </c>
      <c r="AV101" s="47">
        <f t="shared" si="40"/>
        <v>0.21920000000000001</v>
      </c>
      <c r="AW101" s="47">
        <f t="shared" si="61"/>
        <v>2192</v>
      </c>
      <c r="AX101" s="47">
        <f t="shared" si="41"/>
        <v>15.455399999999999</v>
      </c>
      <c r="AY101" s="47"/>
      <c r="AZ101" s="47"/>
      <c r="BA101" s="54">
        <v>1E-4</v>
      </c>
      <c r="BB101" s="55" t="s">
        <v>228</v>
      </c>
      <c r="BC101" s="51">
        <f t="shared" si="62"/>
        <v>117.58799999999999</v>
      </c>
      <c r="BD101" s="47">
        <f t="shared" si="65"/>
        <v>16.8</v>
      </c>
      <c r="BE101" s="47">
        <f t="shared" si="63"/>
        <v>7.7880000000000003</v>
      </c>
      <c r="BF101" s="47">
        <v>6490</v>
      </c>
      <c r="BG101" s="56">
        <v>93</v>
      </c>
      <c r="BH101" s="47"/>
      <c r="BI101" s="51">
        <f t="shared" si="42"/>
        <v>0</v>
      </c>
      <c r="BJ101" s="51">
        <f t="shared" si="43"/>
        <v>0</v>
      </c>
      <c r="BK101" s="47"/>
      <c r="BL101" s="47"/>
      <c r="BM101" s="47"/>
      <c r="BN101" s="47"/>
      <c r="BO101" s="47"/>
      <c r="BP101" s="47"/>
      <c r="BQ101" s="47"/>
      <c r="BR101" s="47"/>
      <c r="BS101" s="53"/>
      <c r="BT101" s="47"/>
      <c r="BU101" s="47"/>
      <c r="BV101" s="47"/>
      <c r="BW101" s="47"/>
      <c r="BX101" s="47">
        <v>985</v>
      </c>
      <c r="BY101" s="47"/>
      <c r="BZ101" s="47">
        <f>2697.69+2711</f>
        <v>5408.6900000000005</v>
      </c>
      <c r="CA101" s="47"/>
      <c r="CB101" s="54">
        <f t="shared" si="44"/>
        <v>6685.4489000000003</v>
      </c>
      <c r="CC101" s="47"/>
      <c r="CD101" s="57"/>
      <c r="CE101" s="47"/>
      <c r="CF101" s="47">
        <f t="shared" si="45"/>
        <v>6685.4489000000003</v>
      </c>
    </row>
    <row r="102" spans="1:84" ht="14.25" customHeight="1">
      <c r="A102" s="47">
        <v>95</v>
      </c>
      <c r="B102" s="47" t="s">
        <v>129</v>
      </c>
      <c r="C102" s="48">
        <v>503001</v>
      </c>
      <c r="D102" s="49" t="s">
        <v>229</v>
      </c>
      <c r="E102" s="49" t="s">
        <v>131</v>
      </c>
      <c r="F102" s="50">
        <f t="shared" si="46"/>
        <v>42</v>
      </c>
      <c r="G102" s="50">
        <v>17</v>
      </c>
      <c r="H102" s="50"/>
      <c r="I102" s="50">
        <v>14</v>
      </c>
      <c r="J102" s="50">
        <v>11</v>
      </c>
      <c r="K102" s="50"/>
      <c r="L102" s="50"/>
      <c r="M102" s="50"/>
      <c r="N102" s="50">
        <v>58</v>
      </c>
      <c r="O102" s="50">
        <f t="shared" si="47"/>
        <v>100</v>
      </c>
      <c r="P102" s="51">
        <f t="shared" si="34"/>
        <v>1021.0208999999999</v>
      </c>
      <c r="Q102" s="51">
        <f t="shared" si="35"/>
        <v>557.47489999999993</v>
      </c>
      <c r="R102" s="47">
        <f t="shared" si="48"/>
        <v>154846.5</v>
      </c>
      <c r="S102" s="58">
        <v>76228</v>
      </c>
      <c r="T102" s="51">
        <v>78618.5</v>
      </c>
      <c r="U102" s="47">
        <f t="shared" si="49"/>
        <v>185.8158</v>
      </c>
      <c r="V102" s="51">
        <f t="shared" si="2"/>
        <v>100.455</v>
      </c>
      <c r="W102" s="47">
        <f t="shared" si="50"/>
        <v>38.25</v>
      </c>
      <c r="X102" s="67">
        <v>12.023999999999999</v>
      </c>
      <c r="Y102" s="47"/>
      <c r="Z102" s="47"/>
      <c r="AA102" s="47">
        <v>50.180999999999997</v>
      </c>
      <c r="AB102" s="51">
        <f t="shared" si="64"/>
        <v>77.040400000000005</v>
      </c>
      <c r="AC102" s="47">
        <f t="shared" si="52"/>
        <v>7.6227999999999998</v>
      </c>
      <c r="AD102" s="47">
        <v>3.06</v>
      </c>
      <c r="AE102" s="47"/>
      <c r="AF102" s="47">
        <f t="shared" si="53"/>
        <v>66.357600000000005</v>
      </c>
      <c r="AG102" s="47">
        <v>55298</v>
      </c>
      <c r="AH102" s="47"/>
      <c r="AI102" s="47">
        <f t="shared" si="54"/>
        <v>64.75</v>
      </c>
      <c r="AJ102" s="53">
        <f t="shared" si="55"/>
        <v>58.047400000000003</v>
      </c>
      <c r="AK102" s="53">
        <f t="shared" si="56"/>
        <v>580474</v>
      </c>
      <c r="AL102" s="47"/>
      <c r="AM102" s="47">
        <f t="shared" si="36"/>
        <v>24.984300000000001</v>
      </c>
      <c r="AN102" s="47">
        <f t="shared" si="37"/>
        <v>23.540299999999998</v>
      </c>
      <c r="AO102" s="47">
        <f t="shared" si="57"/>
        <v>235402.99999999997</v>
      </c>
      <c r="AP102" s="47">
        <f t="shared" si="38"/>
        <v>1.4440999999999999</v>
      </c>
      <c r="AQ102" s="47">
        <f t="shared" si="58"/>
        <v>14441</v>
      </c>
      <c r="AR102" s="47"/>
      <c r="AS102" s="47">
        <f t="shared" si="59"/>
        <v>2.8464999999999998</v>
      </c>
      <c r="AT102" s="47">
        <f t="shared" si="39"/>
        <v>1.7329000000000001</v>
      </c>
      <c r="AU102" s="47">
        <f t="shared" si="60"/>
        <v>17329</v>
      </c>
      <c r="AV102" s="47">
        <f t="shared" si="40"/>
        <v>1.1135999999999999</v>
      </c>
      <c r="AW102" s="47">
        <f t="shared" si="61"/>
        <v>11136</v>
      </c>
      <c r="AX102" s="47">
        <f t="shared" si="41"/>
        <v>43.535499999999999</v>
      </c>
      <c r="AY102" s="47"/>
      <c r="AZ102" s="47"/>
      <c r="BA102" s="54">
        <v>1E-4</v>
      </c>
      <c r="BB102" s="55" t="s">
        <v>229</v>
      </c>
      <c r="BC102" s="51">
        <f t="shared" si="62"/>
        <v>449.23599999999999</v>
      </c>
      <c r="BD102" s="47">
        <f t="shared" si="65"/>
        <v>44.4</v>
      </c>
      <c r="BE102" s="47">
        <f t="shared" si="63"/>
        <v>13.836</v>
      </c>
      <c r="BF102" s="47">
        <v>11530</v>
      </c>
      <c r="BG102" s="56">
        <v>316</v>
      </c>
      <c r="BH102" s="47">
        <v>75</v>
      </c>
      <c r="BI102" s="51">
        <f t="shared" si="42"/>
        <v>14.31</v>
      </c>
      <c r="BJ102" s="51">
        <f t="shared" si="43"/>
        <v>0</v>
      </c>
      <c r="BK102" s="47"/>
      <c r="BL102" s="47"/>
      <c r="BM102" s="47"/>
      <c r="BN102" s="47"/>
      <c r="BO102" s="47"/>
      <c r="BP102" s="68">
        <v>14.31</v>
      </c>
      <c r="BQ102" s="47"/>
      <c r="BR102" s="47"/>
      <c r="BS102" s="53"/>
      <c r="BT102" s="47"/>
      <c r="BU102" s="47"/>
      <c r="BV102" s="47"/>
      <c r="BW102" s="47"/>
      <c r="BX102" s="47">
        <v>309</v>
      </c>
      <c r="BY102" s="47">
        <v>400</v>
      </c>
      <c r="BZ102" s="47">
        <v>3436.67</v>
      </c>
      <c r="CA102" s="47"/>
      <c r="CB102" s="54">
        <f t="shared" si="44"/>
        <v>5166.6908999999996</v>
      </c>
      <c r="CC102" s="47"/>
      <c r="CD102" s="57"/>
      <c r="CE102" s="47"/>
      <c r="CF102" s="47">
        <f t="shared" si="45"/>
        <v>5166.6908999999996</v>
      </c>
    </row>
    <row r="103" spans="1:84" ht="14.25" customHeight="1">
      <c r="A103" s="47">
        <v>96</v>
      </c>
      <c r="B103" s="47" t="s">
        <v>129</v>
      </c>
      <c r="C103" s="48">
        <v>503006</v>
      </c>
      <c r="D103" s="49" t="s">
        <v>230</v>
      </c>
      <c r="E103" s="49" t="s">
        <v>150</v>
      </c>
      <c r="F103" s="50">
        <f t="shared" si="46"/>
        <v>27</v>
      </c>
      <c r="G103" s="50"/>
      <c r="H103" s="50"/>
      <c r="I103" s="50">
        <v>27</v>
      </c>
      <c r="J103" s="50"/>
      <c r="K103" s="50"/>
      <c r="L103" s="50"/>
      <c r="M103" s="50"/>
      <c r="N103" s="50"/>
      <c r="O103" s="50">
        <f t="shared" si="47"/>
        <v>27</v>
      </c>
      <c r="P103" s="51">
        <f t="shared" si="34"/>
        <v>324.25049999999999</v>
      </c>
      <c r="Q103" s="51">
        <f t="shared" si="35"/>
        <v>298.33049999999997</v>
      </c>
      <c r="R103" s="47">
        <f t="shared" si="48"/>
        <v>92042</v>
      </c>
      <c r="S103" s="58"/>
      <c r="T103" s="58">
        <v>92042</v>
      </c>
      <c r="U103" s="47">
        <f t="shared" si="49"/>
        <v>110.4504</v>
      </c>
      <c r="V103" s="51">
        <f t="shared" si="2"/>
        <v>0</v>
      </c>
      <c r="W103" s="47">
        <f t="shared" si="50"/>
        <v>0</v>
      </c>
      <c r="X103" s="47"/>
      <c r="Y103" s="47"/>
      <c r="Z103" s="47"/>
      <c r="AA103" s="47"/>
      <c r="AB103" s="51">
        <f t="shared" si="64"/>
        <v>38.880000000000003</v>
      </c>
      <c r="AC103" s="47">
        <f t="shared" si="52"/>
        <v>0</v>
      </c>
      <c r="AD103" s="47"/>
      <c r="AE103" s="47"/>
      <c r="AF103" s="47">
        <f t="shared" si="53"/>
        <v>38.880000000000003</v>
      </c>
      <c r="AG103" s="47">
        <v>32400</v>
      </c>
      <c r="AH103" s="47"/>
      <c r="AI103" s="47">
        <f t="shared" si="54"/>
        <v>69.930000000000007</v>
      </c>
      <c r="AJ103" s="53">
        <f t="shared" si="55"/>
        <v>35.081699999999998</v>
      </c>
      <c r="AK103" s="53">
        <f t="shared" si="56"/>
        <v>350817</v>
      </c>
      <c r="AL103" s="47"/>
      <c r="AM103" s="47">
        <f t="shared" si="36"/>
        <v>15.3323</v>
      </c>
      <c r="AN103" s="47">
        <f t="shared" si="37"/>
        <v>14.430400000000001</v>
      </c>
      <c r="AO103" s="47">
        <f t="shared" si="57"/>
        <v>144304</v>
      </c>
      <c r="AP103" s="47">
        <f t="shared" si="38"/>
        <v>0.90190000000000003</v>
      </c>
      <c r="AQ103" s="47">
        <f t="shared" si="58"/>
        <v>9019</v>
      </c>
      <c r="AR103" s="47"/>
      <c r="AS103" s="47">
        <f t="shared" si="59"/>
        <v>2.3449</v>
      </c>
      <c r="AT103" s="47">
        <f t="shared" si="39"/>
        <v>1.0823</v>
      </c>
      <c r="AU103" s="47">
        <f t="shared" si="60"/>
        <v>10823</v>
      </c>
      <c r="AV103" s="47">
        <f t="shared" si="40"/>
        <v>1.2626999999999999</v>
      </c>
      <c r="AW103" s="47">
        <f t="shared" si="61"/>
        <v>12627</v>
      </c>
      <c r="AX103" s="47">
        <f t="shared" si="41"/>
        <v>26.311199999999999</v>
      </c>
      <c r="AY103" s="47"/>
      <c r="AZ103" s="47"/>
      <c r="BA103" s="54">
        <v>1E-4</v>
      </c>
      <c r="BB103" s="55" t="s">
        <v>230</v>
      </c>
      <c r="BC103" s="51">
        <f t="shared" si="62"/>
        <v>25.919999999999998</v>
      </c>
      <c r="BD103" s="47">
        <f t="shared" si="65"/>
        <v>25.919999999999998</v>
      </c>
      <c r="BE103" s="47">
        <f t="shared" si="63"/>
        <v>0</v>
      </c>
      <c r="BF103" s="47"/>
      <c r="BG103" s="56"/>
      <c r="BH103" s="47"/>
      <c r="BI103" s="51">
        <f t="shared" si="42"/>
        <v>0</v>
      </c>
      <c r="BJ103" s="51">
        <f t="shared" si="43"/>
        <v>0</v>
      </c>
      <c r="BK103" s="47"/>
      <c r="BL103" s="47"/>
      <c r="BM103" s="47"/>
      <c r="BN103" s="47"/>
      <c r="BO103" s="47"/>
      <c r="BP103" s="47"/>
      <c r="BQ103" s="47"/>
      <c r="BR103" s="47"/>
      <c r="BS103" s="53"/>
      <c r="BT103" s="47"/>
      <c r="BU103" s="47"/>
      <c r="BV103" s="47"/>
      <c r="BW103" s="47"/>
      <c r="BX103" s="47">
        <v>39</v>
      </c>
      <c r="BY103" s="47"/>
      <c r="BZ103" s="47"/>
      <c r="CA103" s="47"/>
      <c r="CB103" s="54">
        <f t="shared" si="44"/>
        <v>363.25049999999999</v>
      </c>
      <c r="CC103" s="47"/>
      <c r="CD103" s="57"/>
      <c r="CE103" s="47">
        <v>55.5</v>
      </c>
      <c r="CF103" s="47">
        <f t="shared" si="45"/>
        <v>418.75049999999999</v>
      </c>
    </row>
    <row r="104" spans="1:84" ht="14.25" customHeight="1">
      <c r="A104" s="47">
        <v>97</v>
      </c>
      <c r="B104" s="47" t="s">
        <v>129</v>
      </c>
      <c r="C104" s="48">
        <v>503007</v>
      </c>
      <c r="D104" s="69" t="s">
        <v>231</v>
      </c>
      <c r="E104" s="69" t="s">
        <v>150</v>
      </c>
      <c r="F104" s="50">
        <f t="shared" si="46"/>
        <v>17</v>
      </c>
      <c r="G104" s="50"/>
      <c r="H104" s="50"/>
      <c r="I104" s="50">
        <v>17</v>
      </c>
      <c r="J104" s="50"/>
      <c r="K104" s="50"/>
      <c r="L104" s="50"/>
      <c r="M104" s="50"/>
      <c r="N104" s="50"/>
      <c r="O104" s="50">
        <f t="shared" si="47"/>
        <v>17</v>
      </c>
      <c r="P104" s="51">
        <f t="shared" si="34"/>
        <v>312.55439999999999</v>
      </c>
      <c r="Q104" s="51">
        <f t="shared" si="35"/>
        <v>216.23439999999999</v>
      </c>
      <c r="R104" s="47">
        <f t="shared" si="48"/>
        <v>63797</v>
      </c>
      <c r="S104" s="58"/>
      <c r="T104" s="58">
        <v>63797</v>
      </c>
      <c r="U104" s="47">
        <f t="shared" si="49"/>
        <v>76.556399999999996</v>
      </c>
      <c r="V104" s="51">
        <f t="shared" si="2"/>
        <v>15.263999999999999</v>
      </c>
      <c r="W104" s="47">
        <f t="shared" si="50"/>
        <v>0</v>
      </c>
      <c r="X104" s="67">
        <v>15.263999999999999</v>
      </c>
      <c r="Y104" s="47"/>
      <c r="Z104" s="47"/>
      <c r="AA104" s="47"/>
      <c r="AB104" s="51">
        <f t="shared" si="64"/>
        <v>27.948</v>
      </c>
      <c r="AC104" s="47">
        <f t="shared" si="52"/>
        <v>0</v>
      </c>
      <c r="AD104" s="47">
        <v>3.468</v>
      </c>
      <c r="AE104" s="47"/>
      <c r="AF104" s="47">
        <f t="shared" si="53"/>
        <v>24.48</v>
      </c>
      <c r="AG104" s="47">
        <v>20400</v>
      </c>
      <c r="AH104" s="47"/>
      <c r="AI104" s="47">
        <f t="shared" si="54"/>
        <v>44.03</v>
      </c>
      <c r="AJ104" s="53">
        <f t="shared" si="55"/>
        <v>23.210599999999999</v>
      </c>
      <c r="AK104" s="53">
        <f t="shared" si="56"/>
        <v>232106</v>
      </c>
      <c r="AL104" s="47"/>
      <c r="AM104" s="47">
        <f t="shared" si="36"/>
        <v>10.2498</v>
      </c>
      <c r="AN104" s="47">
        <f t="shared" si="37"/>
        <v>9.6469000000000005</v>
      </c>
      <c r="AO104" s="47">
        <f t="shared" si="57"/>
        <v>96469</v>
      </c>
      <c r="AP104" s="47">
        <f t="shared" si="38"/>
        <v>0.60289999999999999</v>
      </c>
      <c r="AQ104" s="47">
        <f t="shared" si="58"/>
        <v>6029</v>
      </c>
      <c r="AR104" s="47"/>
      <c r="AS104" s="47">
        <f t="shared" si="59"/>
        <v>1.5676000000000001</v>
      </c>
      <c r="AT104" s="47">
        <f t="shared" si="39"/>
        <v>0.72350000000000003</v>
      </c>
      <c r="AU104" s="47">
        <f t="shared" si="60"/>
        <v>7235</v>
      </c>
      <c r="AV104" s="47">
        <f t="shared" si="40"/>
        <v>0.84409999999999996</v>
      </c>
      <c r="AW104" s="47">
        <f t="shared" si="61"/>
        <v>8441</v>
      </c>
      <c r="AX104" s="47">
        <f t="shared" si="41"/>
        <v>17.408000000000001</v>
      </c>
      <c r="AY104" s="47"/>
      <c r="AZ104" s="47"/>
      <c r="BA104" s="54">
        <v>1E-4</v>
      </c>
      <c r="BB104" s="70" t="s">
        <v>231</v>
      </c>
      <c r="BC104" s="51">
        <f t="shared" si="62"/>
        <v>96.32</v>
      </c>
      <c r="BD104" s="47">
        <f t="shared" si="65"/>
        <v>16.32</v>
      </c>
      <c r="BE104" s="47">
        <f t="shared" si="63"/>
        <v>0</v>
      </c>
      <c r="BF104" s="47"/>
      <c r="BG104" s="56">
        <v>80</v>
      </c>
      <c r="BH104" s="47"/>
      <c r="BI104" s="51">
        <f t="shared" si="42"/>
        <v>0</v>
      </c>
      <c r="BJ104" s="51">
        <f t="shared" si="43"/>
        <v>0</v>
      </c>
      <c r="BK104" s="47"/>
      <c r="BL104" s="47"/>
      <c r="BM104" s="47"/>
      <c r="BN104" s="47"/>
      <c r="BO104" s="47"/>
      <c r="BP104" s="47"/>
      <c r="BQ104" s="47"/>
      <c r="BR104" s="47"/>
      <c r="BS104" s="53"/>
      <c r="BT104" s="47"/>
      <c r="BU104" s="47"/>
      <c r="BV104" s="47"/>
      <c r="BW104" s="47"/>
      <c r="BX104" s="47"/>
      <c r="BY104" s="47"/>
      <c r="BZ104" s="47"/>
      <c r="CA104" s="47"/>
      <c r="CB104" s="54">
        <f t="shared" si="44"/>
        <v>312.55439999999999</v>
      </c>
      <c r="CC104" s="47"/>
      <c r="CD104" s="57"/>
      <c r="CE104" s="47"/>
      <c r="CF104" s="47">
        <f t="shared" si="45"/>
        <v>312.55439999999999</v>
      </c>
    </row>
    <row r="105" spans="1:84" ht="14.25" customHeight="1">
      <c r="A105" s="47">
        <v>98</v>
      </c>
      <c r="B105" s="47" t="s">
        <v>129</v>
      </c>
      <c r="C105" s="48">
        <v>503008</v>
      </c>
      <c r="D105" s="69" t="s">
        <v>232</v>
      </c>
      <c r="E105" s="69" t="s">
        <v>150</v>
      </c>
      <c r="F105" s="50">
        <f t="shared" si="46"/>
        <v>12</v>
      </c>
      <c r="G105" s="50"/>
      <c r="H105" s="50"/>
      <c r="I105" s="50">
        <v>8</v>
      </c>
      <c r="J105" s="50">
        <v>4</v>
      </c>
      <c r="K105" s="50"/>
      <c r="L105" s="50"/>
      <c r="M105" s="50"/>
      <c r="N105" s="50"/>
      <c r="O105" s="50">
        <f t="shared" si="47"/>
        <v>12</v>
      </c>
      <c r="P105" s="51">
        <f t="shared" si="34"/>
        <v>168.34559999999999</v>
      </c>
      <c r="Q105" s="51">
        <f t="shared" si="35"/>
        <v>129.82559999999998</v>
      </c>
      <c r="R105" s="47">
        <f t="shared" si="48"/>
        <v>39235</v>
      </c>
      <c r="S105" s="58"/>
      <c r="T105" s="58">
        <v>39235</v>
      </c>
      <c r="U105" s="47">
        <f t="shared" si="49"/>
        <v>47.082000000000001</v>
      </c>
      <c r="V105" s="51">
        <f t="shared" si="2"/>
        <v>0</v>
      </c>
      <c r="W105" s="47">
        <f t="shared" si="50"/>
        <v>0</v>
      </c>
      <c r="X105" s="47"/>
      <c r="Y105" s="47"/>
      <c r="Z105" s="47"/>
      <c r="AA105" s="47"/>
      <c r="AB105" s="51">
        <f t="shared" si="64"/>
        <v>17.28</v>
      </c>
      <c r="AC105" s="47">
        <f t="shared" si="52"/>
        <v>0</v>
      </c>
      <c r="AD105" s="47"/>
      <c r="AE105" s="47"/>
      <c r="AF105" s="47">
        <f t="shared" si="53"/>
        <v>17.28</v>
      </c>
      <c r="AG105" s="47">
        <v>14400</v>
      </c>
      <c r="AH105" s="47"/>
      <c r="AI105" s="47">
        <f t="shared" si="54"/>
        <v>31.08</v>
      </c>
      <c r="AJ105" s="53">
        <f t="shared" si="55"/>
        <v>15.2707</v>
      </c>
      <c r="AK105" s="53">
        <f t="shared" si="56"/>
        <v>152707</v>
      </c>
      <c r="AL105" s="47"/>
      <c r="AM105" s="47">
        <f t="shared" si="36"/>
        <v>6.6437999999999997</v>
      </c>
      <c r="AN105" s="47">
        <f t="shared" si="37"/>
        <v>6.2530000000000001</v>
      </c>
      <c r="AO105" s="47">
        <f t="shared" si="57"/>
        <v>62530</v>
      </c>
      <c r="AP105" s="47">
        <f t="shared" si="38"/>
        <v>0.39079999999999998</v>
      </c>
      <c r="AQ105" s="47">
        <f t="shared" si="58"/>
        <v>3908</v>
      </c>
      <c r="AR105" s="47"/>
      <c r="AS105" s="47">
        <f t="shared" si="59"/>
        <v>1.0161</v>
      </c>
      <c r="AT105" s="47">
        <f t="shared" si="39"/>
        <v>0.46899999999999997</v>
      </c>
      <c r="AU105" s="47">
        <f t="shared" si="60"/>
        <v>4690</v>
      </c>
      <c r="AV105" s="47">
        <f t="shared" si="40"/>
        <v>0.54710000000000003</v>
      </c>
      <c r="AW105" s="47">
        <f t="shared" si="61"/>
        <v>5471</v>
      </c>
      <c r="AX105" s="47">
        <f t="shared" si="41"/>
        <v>11.452999999999999</v>
      </c>
      <c r="AY105" s="47"/>
      <c r="AZ105" s="47"/>
      <c r="BA105" s="54">
        <v>1E-4</v>
      </c>
      <c r="BB105" s="70" t="s">
        <v>232</v>
      </c>
      <c r="BC105" s="51">
        <f t="shared" si="62"/>
        <v>38.519999999999996</v>
      </c>
      <c r="BD105" s="47">
        <f t="shared" si="65"/>
        <v>11.52</v>
      </c>
      <c r="BE105" s="47">
        <f t="shared" si="63"/>
        <v>0</v>
      </c>
      <c r="BF105" s="47"/>
      <c r="BG105" s="56">
        <v>27</v>
      </c>
      <c r="BH105" s="47"/>
      <c r="BI105" s="51">
        <f t="shared" si="42"/>
        <v>0</v>
      </c>
      <c r="BJ105" s="51">
        <f t="shared" si="43"/>
        <v>0</v>
      </c>
      <c r="BK105" s="47"/>
      <c r="BL105" s="47"/>
      <c r="BM105" s="47"/>
      <c r="BN105" s="47"/>
      <c r="BO105" s="47"/>
      <c r="BP105" s="47"/>
      <c r="BQ105" s="47"/>
      <c r="BR105" s="47"/>
      <c r="BS105" s="53"/>
      <c r="BT105" s="47"/>
      <c r="BU105" s="47"/>
      <c r="BV105" s="47"/>
      <c r="BW105" s="47"/>
      <c r="BX105" s="47"/>
      <c r="BY105" s="47"/>
      <c r="BZ105" s="47"/>
      <c r="CA105" s="47"/>
      <c r="CB105" s="54">
        <f t="shared" si="44"/>
        <v>168.34559999999999</v>
      </c>
      <c r="CC105" s="47"/>
      <c r="CD105" s="57"/>
      <c r="CE105" s="47"/>
      <c r="CF105" s="47">
        <f t="shared" si="45"/>
        <v>168.34559999999999</v>
      </c>
    </row>
    <row r="106" spans="1:84" ht="14.25" customHeight="1">
      <c r="A106" s="47">
        <v>99</v>
      </c>
      <c r="B106" s="47" t="s">
        <v>129</v>
      </c>
      <c r="C106" s="48">
        <v>503003</v>
      </c>
      <c r="D106" s="49" t="s">
        <v>233</v>
      </c>
      <c r="E106" s="49" t="s">
        <v>150</v>
      </c>
      <c r="F106" s="50">
        <f t="shared" si="46"/>
        <v>80</v>
      </c>
      <c r="G106" s="50"/>
      <c r="H106" s="50"/>
      <c r="I106" s="50">
        <v>80</v>
      </c>
      <c r="J106" s="50"/>
      <c r="K106" s="50"/>
      <c r="L106" s="50">
        <v>22</v>
      </c>
      <c r="M106" s="50"/>
      <c r="N106" s="50">
        <v>139</v>
      </c>
      <c r="O106" s="50">
        <f t="shared" si="47"/>
        <v>241</v>
      </c>
      <c r="P106" s="51">
        <f t="shared" si="34"/>
        <v>1106.6763000000001</v>
      </c>
      <c r="Q106" s="51">
        <f t="shared" si="35"/>
        <v>962.81229999999994</v>
      </c>
      <c r="R106" s="47">
        <f t="shared" si="48"/>
        <v>362856</v>
      </c>
      <c r="S106" s="58"/>
      <c r="T106" s="51">
        <v>362856</v>
      </c>
      <c r="U106" s="47">
        <f>ROUND((292016*12/10000+L106*800*12/10000),5)</f>
        <v>371.53919999999999</v>
      </c>
      <c r="V106" s="51">
        <f t="shared" si="2"/>
        <v>67.751999999999995</v>
      </c>
      <c r="W106" s="47">
        <f t="shared" si="50"/>
        <v>0</v>
      </c>
      <c r="X106" s="67">
        <v>67.751999999999995</v>
      </c>
      <c r="Y106" s="47"/>
      <c r="Z106" s="47"/>
      <c r="AA106" s="47"/>
      <c r="AB106" s="51">
        <f t="shared" si="64"/>
        <v>13.26</v>
      </c>
      <c r="AC106" s="47">
        <f t="shared" si="52"/>
        <v>0</v>
      </c>
      <c r="AD106" s="47">
        <v>13.26</v>
      </c>
      <c r="AE106" s="47"/>
      <c r="AF106" s="47"/>
      <c r="AG106" s="47">
        <f>65*1200</f>
        <v>78000</v>
      </c>
      <c r="AH106" s="47"/>
      <c r="AI106" s="47">
        <v>207.2</v>
      </c>
      <c r="AJ106" s="53">
        <v>126.9132</v>
      </c>
      <c r="AK106" s="53">
        <v>1269132</v>
      </c>
      <c r="AL106" s="67">
        <v>11.359</v>
      </c>
      <c r="AM106" s="47">
        <v>60.509099999999997</v>
      </c>
      <c r="AN106" s="47">
        <v>57.011099999999999</v>
      </c>
      <c r="AO106" s="47">
        <v>570111</v>
      </c>
      <c r="AP106" s="47">
        <v>3.4980000000000002</v>
      </c>
      <c r="AQ106" s="47">
        <v>34980</v>
      </c>
      <c r="AR106" s="47"/>
      <c r="AS106" s="47">
        <v>9.0949000000000009</v>
      </c>
      <c r="AT106" s="47">
        <v>4.1976000000000004</v>
      </c>
      <c r="AU106" s="47">
        <v>41976</v>
      </c>
      <c r="AV106" s="47">
        <v>4.8973000000000004</v>
      </c>
      <c r="AW106" s="47">
        <v>48973</v>
      </c>
      <c r="AX106" s="47">
        <v>95.184899999999999</v>
      </c>
      <c r="AY106" s="47"/>
      <c r="AZ106" s="47"/>
      <c r="BA106" s="54">
        <v>1E-4</v>
      </c>
      <c r="BB106" s="55" t="s">
        <v>233</v>
      </c>
      <c r="BC106" s="51">
        <f t="shared" si="62"/>
        <v>99.8</v>
      </c>
      <c r="BD106" s="47">
        <f t="shared" si="65"/>
        <v>76.8</v>
      </c>
      <c r="BE106" s="47">
        <f t="shared" si="63"/>
        <v>0</v>
      </c>
      <c r="BF106" s="47"/>
      <c r="BG106" s="56">
        <v>23</v>
      </c>
      <c r="BH106" s="47"/>
      <c r="BI106" s="51">
        <f t="shared" si="42"/>
        <v>44.064</v>
      </c>
      <c r="BJ106" s="51">
        <f t="shared" si="43"/>
        <v>34.271999999999998</v>
      </c>
      <c r="BK106" s="68">
        <v>34.271999999999998</v>
      </c>
      <c r="BL106" s="68"/>
      <c r="BM106" s="47"/>
      <c r="BN106" s="47"/>
      <c r="BO106" s="47"/>
      <c r="BP106" s="68">
        <v>9.7919999999999998</v>
      </c>
      <c r="BQ106" s="47"/>
      <c r="BR106" s="47"/>
      <c r="BS106" s="53"/>
      <c r="BT106" s="47"/>
      <c r="BU106" s="47"/>
      <c r="BV106" s="47"/>
      <c r="BW106" s="47"/>
      <c r="BX106" s="47"/>
      <c r="BY106" s="47"/>
      <c r="BZ106" s="47">
        <v>44</v>
      </c>
      <c r="CA106" s="47"/>
      <c r="CB106" s="54">
        <f t="shared" si="44"/>
        <v>1150.6763000000001</v>
      </c>
      <c r="CC106" s="47"/>
      <c r="CD106" s="57"/>
      <c r="CE106" s="47"/>
      <c r="CF106" s="47">
        <f t="shared" si="45"/>
        <v>1150.6763000000001</v>
      </c>
    </row>
    <row r="107" spans="1:84" ht="14.25" customHeight="1">
      <c r="A107" s="47">
        <v>100</v>
      </c>
      <c r="B107" s="47" t="s">
        <v>129</v>
      </c>
      <c r="C107" s="48">
        <v>503002</v>
      </c>
      <c r="D107" s="49" t="s">
        <v>234</v>
      </c>
      <c r="E107" s="49" t="s">
        <v>150</v>
      </c>
      <c r="F107" s="50">
        <f t="shared" si="46"/>
        <v>70</v>
      </c>
      <c r="G107" s="50"/>
      <c r="H107" s="50"/>
      <c r="I107" s="50">
        <v>70</v>
      </c>
      <c r="J107" s="50"/>
      <c r="K107" s="50"/>
      <c r="L107" s="50">
        <v>66</v>
      </c>
      <c r="M107" s="50"/>
      <c r="N107" s="50">
        <v>350</v>
      </c>
      <c r="O107" s="50">
        <f t="shared" si="47"/>
        <v>486</v>
      </c>
      <c r="P107" s="51">
        <f t="shared" si="34"/>
        <v>1214.1293000000001</v>
      </c>
      <c r="Q107" s="51">
        <f t="shared" si="35"/>
        <v>994.88529999999992</v>
      </c>
      <c r="R107" s="47">
        <f t="shared" si="48"/>
        <v>478467</v>
      </c>
      <c r="S107" s="58"/>
      <c r="T107" s="51">
        <v>478467</v>
      </c>
      <c r="U107" s="47">
        <f>ROUND((263040*12/10000+L107*800*12/10000),5)</f>
        <v>379.00799999999998</v>
      </c>
      <c r="V107" s="51">
        <f t="shared" si="2"/>
        <v>29.808</v>
      </c>
      <c r="W107" s="47">
        <f t="shared" si="50"/>
        <v>0</v>
      </c>
      <c r="X107" s="67">
        <v>29.808</v>
      </c>
      <c r="Y107" s="47"/>
      <c r="Z107" s="47"/>
      <c r="AA107" s="47"/>
      <c r="AB107" s="51">
        <f t="shared" si="64"/>
        <v>5.9160000000000004</v>
      </c>
      <c r="AC107" s="47">
        <f t="shared" si="52"/>
        <v>0</v>
      </c>
      <c r="AD107" s="47">
        <v>5.9160000000000004</v>
      </c>
      <c r="AE107" s="47"/>
      <c r="AF107" s="47"/>
      <c r="AG107" s="47">
        <f>29*1200</f>
        <v>34800</v>
      </c>
      <c r="AH107" s="47"/>
      <c r="AI107" s="47">
        <v>181.3</v>
      </c>
      <c r="AJ107" s="53">
        <v>154.9057</v>
      </c>
      <c r="AK107" s="53">
        <v>1549057</v>
      </c>
      <c r="AL107" s="67">
        <v>34.356200000000001</v>
      </c>
      <c r="AM107" s="47">
        <v>81.369</v>
      </c>
      <c r="AN107" s="47">
        <v>76.736999999999995</v>
      </c>
      <c r="AO107" s="47">
        <v>767370</v>
      </c>
      <c r="AP107" s="47">
        <v>4.6319999999999997</v>
      </c>
      <c r="AQ107" s="47">
        <v>46320</v>
      </c>
      <c r="AR107" s="47"/>
      <c r="AS107" s="47">
        <v>12.043200000000001</v>
      </c>
      <c r="AT107" s="47">
        <v>5.5583999999999998</v>
      </c>
      <c r="AU107" s="47">
        <v>55584</v>
      </c>
      <c r="AV107" s="47">
        <v>6.4847999999999999</v>
      </c>
      <c r="AW107" s="47">
        <v>64848</v>
      </c>
      <c r="AX107" s="47">
        <v>116.17919999999999</v>
      </c>
      <c r="AY107" s="47"/>
      <c r="AZ107" s="47"/>
      <c r="BA107" s="54">
        <v>1E-4</v>
      </c>
      <c r="BB107" s="55" t="s">
        <v>234</v>
      </c>
      <c r="BC107" s="51">
        <f t="shared" si="62"/>
        <v>119.2</v>
      </c>
      <c r="BD107" s="47">
        <f t="shared" si="65"/>
        <v>67.2</v>
      </c>
      <c r="BE107" s="47">
        <f t="shared" si="63"/>
        <v>0</v>
      </c>
      <c r="BF107" s="47"/>
      <c r="BG107" s="56">
        <v>52</v>
      </c>
      <c r="BH107" s="47"/>
      <c r="BI107" s="51">
        <f t="shared" si="42"/>
        <v>100.044</v>
      </c>
      <c r="BJ107" s="51">
        <f t="shared" si="43"/>
        <v>86.94</v>
      </c>
      <c r="BK107" s="68">
        <v>86.94</v>
      </c>
      <c r="BL107" s="68"/>
      <c r="BM107" s="47"/>
      <c r="BN107" s="47"/>
      <c r="BO107" s="47"/>
      <c r="BP107" s="68">
        <v>13.103999999999999</v>
      </c>
      <c r="BQ107" s="47"/>
      <c r="BR107" s="47"/>
      <c r="BS107" s="53"/>
      <c r="BT107" s="47"/>
      <c r="BU107" s="47"/>
      <c r="BV107" s="47"/>
      <c r="BW107" s="47"/>
      <c r="BX107" s="47"/>
      <c r="BY107" s="47"/>
      <c r="BZ107" s="47">
        <v>35</v>
      </c>
      <c r="CA107" s="47"/>
      <c r="CB107" s="54">
        <f t="shared" si="44"/>
        <v>1249.1293000000001</v>
      </c>
      <c r="CC107" s="47"/>
      <c r="CD107" s="57"/>
      <c r="CE107" s="47"/>
      <c r="CF107" s="47">
        <f t="shared" si="45"/>
        <v>1249.1293000000001</v>
      </c>
    </row>
    <row r="108" spans="1:84" ht="14.25" customHeight="1">
      <c r="A108" s="47">
        <v>101</v>
      </c>
      <c r="B108" s="47" t="s">
        <v>129</v>
      </c>
      <c r="C108" s="48">
        <v>503004</v>
      </c>
      <c r="D108" s="49" t="s">
        <v>235</v>
      </c>
      <c r="E108" s="49" t="s">
        <v>150</v>
      </c>
      <c r="F108" s="50">
        <f t="shared" si="46"/>
        <v>45</v>
      </c>
      <c r="G108" s="50"/>
      <c r="H108" s="50"/>
      <c r="I108" s="50">
        <v>45</v>
      </c>
      <c r="J108" s="50"/>
      <c r="K108" s="50"/>
      <c r="L108" s="50">
        <v>20</v>
      </c>
      <c r="M108" s="50"/>
      <c r="N108" s="50">
        <v>94</v>
      </c>
      <c r="O108" s="50">
        <f t="shared" si="47"/>
        <v>159</v>
      </c>
      <c r="P108" s="51">
        <f t="shared" si="34"/>
        <v>684.50900000000001</v>
      </c>
      <c r="Q108" s="51">
        <f t="shared" si="35"/>
        <v>597.32100000000003</v>
      </c>
      <c r="R108" s="47">
        <f t="shared" si="48"/>
        <v>242557</v>
      </c>
      <c r="S108" s="58"/>
      <c r="T108" s="51">
        <v>242557</v>
      </c>
      <c r="U108" s="47">
        <f>ROUND((176746*12/10000+L108*800*12/10000),5)</f>
        <v>231.29519999999999</v>
      </c>
      <c r="V108" s="51">
        <f t="shared" si="2"/>
        <v>40.968000000000004</v>
      </c>
      <c r="W108" s="47">
        <f t="shared" si="50"/>
        <v>0</v>
      </c>
      <c r="X108" s="67">
        <v>40.968000000000004</v>
      </c>
      <c r="Y108" s="47"/>
      <c r="Z108" s="47"/>
      <c r="AA108" s="47"/>
      <c r="AB108" s="51">
        <f t="shared" si="64"/>
        <v>7.9560000000000004</v>
      </c>
      <c r="AC108" s="47">
        <f t="shared" si="52"/>
        <v>0</v>
      </c>
      <c r="AD108" s="47">
        <v>7.9560000000000004</v>
      </c>
      <c r="AE108" s="47"/>
      <c r="AF108" s="47"/>
      <c r="AG108" s="47">
        <v>46800</v>
      </c>
      <c r="AH108" s="47"/>
      <c r="AI108" s="47">
        <v>116.55</v>
      </c>
      <c r="AJ108" s="53">
        <v>82.492500000000007</v>
      </c>
      <c r="AK108" s="53">
        <v>824925</v>
      </c>
      <c r="AL108" s="67">
        <v>10.4619</v>
      </c>
      <c r="AM108" s="47">
        <v>39.755600000000001</v>
      </c>
      <c r="AN108" s="47">
        <v>37.458500000000001</v>
      </c>
      <c r="AO108" s="47">
        <v>374585</v>
      </c>
      <c r="AP108" s="47">
        <v>2.2970999999999999</v>
      </c>
      <c r="AQ108" s="47">
        <v>22971</v>
      </c>
      <c r="AR108" s="47"/>
      <c r="AS108" s="47">
        <v>5.9724000000000004</v>
      </c>
      <c r="AT108" s="47">
        <v>2.7565</v>
      </c>
      <c r="AU108" s="47">
        <v>27565</v>
      </c>
      <c r="AV108" s="47">
        <v>3.2159</v>
      </c>
      <c r="AW108" s="47">
        <v>32159</v>
      </c>
      <c r="AX108" s="47">
        <v>61.869399999999999</v>
      </c>
      <c r="AY108" s="47"/>
      <c r="AZ108" s="47"/>
      <c r="BA108" s="54">
        <v>1E-4</v>
      </c>
      <c r="BB108" s="55" t="s">
        <v>235</v>
      </c>
      <c r="BC108" s="51">
        <f t="shared" si="62"/>
        <v>57.199999999999996</v>
      </c>
      <c r="BD108" s="47">
        <f t="shared" si="65"/>
        <v>43.199999999999996</v>
      </c>
      <c r="BE108" s="47">
        <f t="shared" si="63"/>
        <v>0</v>
      </c>
      <c r="BF108" s="47"/>
      <c r="BG108" s="56">
        <v>14</v>
      </c>
      <c r="BH108" s="47"/>
      <c r="BI108" s="51">
        <f t="shared" si="42"/>
        <v>29.988</v>
      </c>
      <c r="BJ108" s="51">
        <f t="shared" si="43"/>
        <v>20.411999999999999</v>
      </c>
      <c r="BK108" s="68">
        <v>20.411999999999999</v>
      </c>
      <c r="BL108" s="68"/>
      <c r="BM108" s="47"/>
      <c r="BN108" s="47"/>
      <c r="BO108" s="47"/>
      <c r="BP108" s="68">
        <v>9.5760000000000005</v>
      </c>
      <c r="BQ108" s="47"/>
      <c r="BR108" s="47"/>
      <c r="BS108" s="53"/>
      <c r="BT108" s="47"/>
      <c r="BU108" s="47"/>
      <c r="BV108" s="47"/>
      <c r="BW108" s="47"/>
      <c r="BX108" s="47"/>
      <c r="BY108" s="47"/>
      <c r="BZ108" s="47">
        <v>10</v>
      </c>
      <c r="CA108" s="47"/>
      <c r="CB108" s="54">
        <f t="shared" si="44"/>
        <v>694.50900000000001</v>
      </c>
      <c r="CC108" s="47"/>
      <c r="CD108" s="57"/>
      <c r="CE108" s="47"/>
      <c r="CF108" s="47">
        <f t="shared" si="45"/>
        <v>694.50900000000001</v>
      </c>
    </row>
    <row r="109" spans="1:84" ht="14.25" customHeight="1">
      <c r="A109" s="47">
        <v>102</v>
      </c>
      <c r="B109" s="47" t="s">
        <v>129</v>
      </c>
      <c r="C109" s="48">
        <v>503005</v>
      </c>
      <c r="D109" s="49" t="s">
        <v>236</v>
      </c>
      <c r="E109" s="49" t="s">
        <v>150</v>
      </c>
      <c r="F109" s="50">
        <f t="shared" si="46"/>
        <v>10</v>
      </c>
      <c r="G109" s="50"/>
      <c r="H109" s="50"/>
      <c r="I109" s="50">
        <v>10</v>
      </c>
      <c r="J109" s="50"/>
      <c r="K109" s="50"/>
      <c r="L109" s="50">
        <v>13</v>
      </c>
      <c r="M109" s="50"/>
      <c r="N109" s="50">
        <v>48</v>
      </c>
      <c r="O109" s="50">
        <f t="shared" si="47"/>
        <v>71</v>
      </c>
      <c r="P109" s="51">
        <f t="shared" si="34"/>
        <v>204.58589999999998</v>
      </c>
      <c r="Q109" s="51">
        <f t="shared" si="35"/>
        <v>166.81789999999998</v>
      </c>
      <c r="R109" s="47">
        <f t="shared" si="48"/>
        <v>81445</v>
      </c>
      <c r="S109" s="58"/>
      <c r="T109" s="51">
        <v>81445</v>
      </c>
      <c r="U109" s="47">
        <f>ROUND((38105*12/10000+L109*800*12/10000),5)</f>
        <v>58.206000000000003</v>
      </c>
      <c r="V109" s="51">
        <f t="shared" si="2"/>
        <v>10.368</v>
      </c>
      <c r="W109" s="47">
        <f t="shared" si="50"/>
        <v>0</v>
      </c>
      <c r="X109" s="67">
        <v>10.368</v>
      </c>
      <c r="Y109" s="47"/>
      <c r="Z109" s="47"/>
      <c r="AA109" s="47"/>
      <c r="AB109" s="51">
        <f t="shared" si="64"/>
        <v>2.04</v>
      </c>
      <c r="AC109" s="47">
        <f t="shared" si="52"/>
        <v>0</v>
      </c>
      <c r="AD109" s="47">
        <v>2.04</v>
      </c>
      <c r="AE109" s="47"/>
      <c r="AF109" s="47"/>
      <c r="AG109" s="47">
        <f>9*1200</f>
        <v>10800</v>
      </c>
      <c r="AH109" s="47"/>
      <c r="AI109" s="47">
        <v>25.9</v>
      </c>
      <c r="AJ109" s="53">
        <v>27.2422</v>
      </c>
      <c r="AK109" s="53">
        <v>272422</v>
      </c>
      <c r="AL109" s="67">
        <v>6.8541999999999996</v>
      </c>
      <c r="AM109" s="47">
        <v>13.7308</v>
      </c>
      <c r="AN109" s="47">
        <v>12.9443</v>
      </c>
      <c r="AO109" s="47">
        <v>129443</v>
      </c>
      <c r="AP109" s="47">
        <v>0.78649999999999998</v>
      </c>
      <c r="AQ109" s="47">
        <v>7865</v>
      </c>
      <c r="AR109" s="47"/>
      <c r="AS109" s="47">
        <v>2.0449999999999999</v>
      </c>
      <c r="AT109" s="47">
        <v>0.94379999999999997</v>
      </c>
      <c r="AU109" s="47">
        <v>9438</v>
      </c>
      <c r="AV109" s="47">
        <v>1.1011</v>
      </c>
      <c r="AW109" s="47">
        <v>11011</v>
      </c>
      <c r="AX109" s="47">
        <v>20.431699999999999</v>
      </c>
      <c r="AY109" s="47"/>
      <c r="AZ109" s="47"/>
      <c r="BA109" s="54">
        <v>1E-4</v>
      </c>
      <c r="BB109" s="55" t="s">
        <v>236</v>
      </c>
      <c r="BC109" s="51">
        <f t="shared" si="62"/>
        <v>25.6</v>
      </c>
      <c r="BD109" s="47">
        <f t="shared" si="65"/>
        <v>9.6</v>
      </c>
      <c r="BE109" s="47">
        <f t="shared" si="63"/>
        <v>0</v>
      </c>
      <c r="BF109" s="47"/>
      <c r="BG109" s="56">
        <v>16</v>
      </c>
      <c r="BH109" s="47"/>
      <c r="BI109" s="51">
        <f t="shared" si="42"/>
        <v>12.167999999999999</v>
      </c>
      <c r="BJ109" s="51">
        <f t="shared" si="43"/>
        <v>11.34</v>
      </c>
      <c r="BK109" s="68">
        <v>11.34</v>
      </c>
      <c r="BL109" s="68"/>
      <c r="BM109" s="47"/>
      <c r="BN109" s="47"/>
      <c r="BO109" s="47"/>
      <c r="BP109" s="68">
        <v>0.82799999999999996</v>
      </c>
      <c r="BQ109" s="47"/>
      <c r="BR109" s="47"/>
      <c r="BS109" s="53"/>
      <c r="BT109" s="47"/>
      <c r="BU109" s="47"/>
      <c r="BV109" s="47"/>
      <c r="BW109" s="47"/>
      <c r="BX109" s="47"/>
      <c r="BY109" s="47"/>
      <c r="BZ109" s="47"/>
      <c r="CA109" s="47"/>
      <c r="CB109" s="54">
        <f t="shared" si="44"/>
        <v>204.58589999999998</v>
      </c>
      <c r="CC109" s="47"/>
      <c r="CD109" s="57"/>
      <c r="CE109" s="47"/>
      <c r="CF109" s="47">
        <f t="shared" si="45"/>
        <v>204.58589999999998</v>
      </c>
    </row>
    <row r="110" spans="1:84" ht="14.25" customHeight="1">
      <c r="A110" s="47">
        <v>103</v>
      </c>
      <c r="B110" s="47" t="s">
        <v>129</v>
      </c>
      <c r="C110" s="48">
        <v>502001</v>
      </c>
      <c r="D110" s="49" t="s">
        <v>237</v>
      </c>
      <c r="E110" s="49" t="s">
        <v>131</v>
      </c>
      <c r="F110" s="50">
        <f t="shared" si="46"/>
        <v>61</v>
      </c>
      <c r="G110" s="50">
        <v>26</v>
      </c>
      <c r="H110" s="50">
        <v>9</v>
      </c>
      <c r="I110" s="50">
        <v>16</v>
      </c>
      <c r="J110" s="50">
        <v>10</v>
      </c>
      <c r="K110" s="50"/>
      <c r="L110" s="50"/>
      <c r="M110" s="50"/>
      <c r="N110" s="50">
        <v>23</v>
      </c>
      <c r="O110" s="50">
        <f t="shared" si="47"/>
        <v>84</v>
      </c>
      <c r="P110" s="51">
        <f t="shared" si="34"/>
        <v>1211.6251000000002</v>
      </c>
      <c r="Q110" s="51">
        <f t="shared" si="35"/>
        <v>745.49910000000011</v>
      </c>
      <c r="R110" s="47">
        <f t="shared" si="48"/>
        <v>220883</v>
      </c>
      <c r="S110" s="58">
        <v>126705</v>
      </c>
      <c r="T110" s="51">
        <v>94178</v>
      </c>
      <c r="U110" s="47">
        <f t="shared" si="49"/>
        <v>265.05959999999999</v>
      </c>
      <c r="V110" s="51">
        <f t="shared" si="2"/>
        <v>78.75</v>
      </c>
      <c r="W110" s="47">
        <f t="shared" si="50"/>
        <v>78.75</v>
      </c>
      <c r="X110" s="47"/>
      <c r="Y110" s="47"/>
      <c r="Z110" s="47"/>
      <c r="AA110" s="47"/>
      <c r="AB110" s="51">
        <f t="shared" si="64"/>
        <v>108.8109</v>
      </c>
      <c r="AC110" s="47">
        <f t="shared" si="52"/>
        <v>12.670500000000001</v>
      </c>
      <c r="AD110" s="47"/>
      <c r="AE110" s="47"/>
      <c r="AF110" s="47">
        <f t="shared" si="53"/>
        <v>96.1404</v>
      </c>
      <c r="AG110" s="47">
        <v>80117</v>
      </c>
      <c r="AH110" s="47"/>
      <c r="AI110" s="47">
        <f t="shared" si="54"/>
        <v>67.34</v>
      </c>
      <c r="AJ110" s="53">
        <f t="shared" si="55"/>
        <v>83.193700000000007</v>
      </c>
      <c r="AK110" s="53">
        <f t="shared" si="56"/>
        <v>831937.00000000012</v>
      </c>
      <c r="AL110" s="47"/>
      <c r="AM110" s="47">
        <f t="shared" ref="AM110:AM132" si="66">ROUND(((U110+W110+AI110)*0.085+N110*0.0075),4)</f>
        <v>35.120199999999997</v>
      </c>
      <c r="AN110" s="47">
        <f t="shared" ref="AN110:AN132" si="67">ROUND(((U110+W110+AI110)*0.08+N110*0.0075),4)</f>
        <v>33.064500000000002</v>
      </c>
      <c r="AO110" s="47">
        <f t="shared" si="57"/>
        <v>330645</v>
      </c>
      <c r="AP110" s="47">
        <f t="shared" si="38"/>
        <v>2.0556999999999999</v>
      </c>
      <c r="AQ110" s="47">
        <f t="shared" si="58"/>
        <v>20557</v>
      </c>
      <c r="AR110" s="47"/>
      <c r="AS110" s="47">
        <f t="shared" si="59"/>
        <v>3.7294</v>
      </c>
      <c r="AT110" s="47">
        <f t="shared" ref="AT110:AT123" si="68">ROUND(((U110+W110+AI110)*0.006),4)</f>
        <v>2.4668999999999999</v>
      </c>
      <c r="AU110" s="47">
        <f t="shared" si="60"/>
        <v>24669</v>
      </c>
      <c r="AV110" s="47">
        <f t="shared" ref="AV110:AV159" si="69">ROUND(((T110*12/10000+AI110)*0.007),4)</f>
        <v>1.2625</v>
      </c>
      <c r="AW110" s="47">
        <f t="shared" si="61"/>
        <v>12625</v>
      </c>
      <c r="AX110" s="47">
        <f t="shared" si="41"/>
        <v>62.395299999999999</v>
      </c>
      <c r="AY110" s="47"/>
      <c r="AZ110" s="67">
        <v>41.1</v>
      </c>
      <c r="BA110" s="54">
        <v>1E-4</v>
      </c>
      <c r="BB110" s="55" t="s">
        <v>237</v>
      </c>
      <c r="BC110" s="51">
        <f t="shared" si="62"/>
        <v>382.76</v>
      </c>
      <c r="BD110" s="47">
        <f t="shared" si="65"/>
        <v>66.960000000000008</v>
      </c>
      <c r="BE110" s="47">
        <f t="shared" si="63"/>
        <v>24.3</v>
      </c>
      <c r="BF110" s="47">
        <v>20250</v>
      </c>
      <c r="BG110" s="56">
        <v>282</v>
      </c>
      <c r="BH110" s="47">
        <v>9.5</v>
      </c>
      <c r="BI110" s="51">
        <f t="shared" si="42"/>
        <v>83.366</v>
      </c>
      <c r="BJ110" s="51">
        <f t="shared" si="43"/>
        <v>0</v>
      </c>
      <c r="BK110" s="47"/>
      <c r="BL110" s="47"/>
      <c r="BM110" s="47"/>
      <c r="BN110" s="47"/>
      <c r="BO110" s="47"/>
      <c r="BP110" s="68">
        <v>11.196</v>
      </c>
      <c r="BQ110" s="47"/>
      <c r="BR110" s="47"/>
      <c r="BS110" s="53"/>
      <c r="BT110" s="47"/>
      <c r="BU110" s="47"/>
      <c r="BV110" s="47"/>
      <c r="BW110" s="47">
        <v>72.17</v>
      </c>
      <c r="BX110" s="47">
        <v>1462</v>
      </c>
      <c r="BY110" s="47"/>
      <c r="BZ110" s="47">
        <v>3931</v>
      </c>
      <c r="CA110" s="47"/>
      <c r="CB110" s="54">
        <f t="shared" si="44"/>
        <v>6604.6251000000002</v>
      </c>
      <c r="CC110" s="47"/>
      <c r="CD110" s="57"/>
      <c r="CE110" s="47"/>
      <c r="CF110" s="47">
        <f t="shared" si="45"/>
        <v>6604.6251000000002</v>
      </c>
    </row>
    <row r="111" spans="1:84" ht="14.25" customHeight="1">
      <c r="A111" s="47">
        <v>104</v>
      </c>
      <c r="B111" s="47" t="s">
        <v>129</v>
      </c>
      <c r="C111" s="48">
        <v>506001</v>
      </c>
      <c r="D111" s="49" t="s">
        <v>238</v>
      </c>
      <c r="E111" s="49" t="s">
        <v>141</v>
      </c>
      <c r="F111" s="50">
        <f t="shared" si="46"/>
        <v>24</v>
      </c>
      <c r="G111" s="50">
        <v>17</v>
      </c>
      <c r="H111" s="50">
        <v>1</v>
      </c>
      <c r="I111" s="50">
        <v>6</v>
      </c>
      <c r="J111" s="50"/>
      <c r="K111" s="50"/>
      <c r="L111" s="50"/>
      <c r="M111" s="50"/>
      <c r="N111" s="50">
        <v>1</v>
      </c>
      <c r="O111" s="50">
        <f t="shared" si="47"/>
        <v>25</v>
      </c>
      <c r="P111" s="51">
        <f t="shared" si="34"/>
        <v>447.8229</v>
      </c>
      <c r="Q111" s="51">
        <f t="shared" si="35"/>
        <v>296.27089999999998</v>
      </c>
      <c r="R111" s="47">
        <f t="shared" si="48"/>
        <v>95045</v>
      </c>
      <c r="S111" s="58">
        <v>76839</v>
      </c>
      <c r="T111" s="58">
        <v>18206</v>
      </c>
      <c r="U111" s="47">
        <f t="shared" si="49"/>
        <v>114.054</v>
      </c>
      <c r="V111" s="51">
        <f t="shared" si="2"/>
        <v>40.5</v>
      </c>
      <c r="W111" s="47">
        <f t="shared" si="50"/>
        <v>40.5</v>
      </c>
      <c r="X111" s="47"/>
      <c r="Y111" s="47"/>
      <c r="Z111" s="47"/>
      <c r="AA111" s="47"/>
      <c r="AB111" s="51">
        <f t="shared" si="64"/>
        <v>49.064700000000002</v>
      </c>
      <c r="AC111" s="47">
        <f t="shared" si="52"/>
        <v>7.6839000000000004</v>
      </c>
      <c r="AD111" s="47"/>
      <c r="AE111" s="47"/>
      <c r="AF111" s="47">
        <f t="shared" si="53"/>
        <v>41.380800000000001</v>
      </c>
      <c r="AG111" s="47">
        <v>34484</v>
      </c>
      <c r="AH111" s="47"/>
      <c r="AI111" s="47">
        <f t="shared" si="54"/>
        <v>15.54</v>
      </c>
      <c r="AJ111" s="53">
        <f t="shared" si="55"/>
        <v>35.065399999999997</v>
      </c>
      <c r="AK111" s="53">
        <f t="shared" si="56"/>
        <v>350653.99999999994</v>
      </c>
      <c r="AL111" s="47"/>
      <c r="AM111" s="47">
        <f t="shared" si="66"/>
        <v>14.4655</v>
      </c>
      <c r="AN111" s="47">
        <f t="shared" si="67"/>
        <v>13.615</v>
      </c>
      <c r="AO111" s="47">
        <f t="shared" si="57"/>
        <v>136150</v>
      </c>
      <c r="AP111" s="47">
        <f t="shared" si="38"/>
        <v>0.85050000000000003</v>
      </c>
      <c r="AQ111" s="47">
        <f t="shared" si="58"/>
        <v>8505</v>
      </c>
      <c r="AR111" s="47"/>
      <c r="AS111" s="47">
        <f t="shared" si="59"/>
        <v>1.2823</v>
      </c>
      <c r="AT111" s="47">
        <f t="shared" si="68"/>
        <v>1.0206</v>
      </c>
      <c r="AU111" s="47">
        <f t="shared" si="60"/>
        <v>10206</v>
      </c>
      <c r="AV111" s="47">
        <f t="shared" si="69"/>
        <v>0.26169999999999999</v>
      </c>
      <c r="AW111" s="47">
        <f t="shared" si="61"/>
        <v>2617</v>
      </c>
      <c r="AX111" s="47">
        <f t="shared" si="41"/>
        <v>26.298999999999999</v>
      </c>
      <c r="AY111" s="47"/>
      <c r="AZ111" s="47"/>
      <c r="BA111" s="54">
        <v>1E-4</v>
      </c>
      <c r="BB111" s="55" t="s">
        <v>238</v>
      </c>
      <c r="BC111" s="51">
        <f t="shared" si="62"/>
        <v>151.55199999999999</v>
      </c>
      <c r="BD111" s="47">
        <f t="shared" si="65"/>
        <v>27.36</v>
      </c>
      <c r="BE111" s="47">
        <f t="shared" si="63"/>
        <v>15.192</v>
      </c>
      <c r="BF111" s="47">
        <v>12660</v>
      </c>
      <c r="BG111" s="56">
        <v>109</v>
      </c>
      <c r="BH111" s="47"/>
      <c r="BI111" s="51">
        <f t="shared" si="42"/>
        <v>0</v>
      </c>
      <c r="BJ111" s="51">
        <f t="shared" si="43"/>
        <v>0</v>
      </c>
      <c r="BK111" s="47"/>
      <c r="BL111" s="47"/>
      <c r="BM111" s="47"/>
      <c r="BN111" s="47"/>
      <c r="BO111" s="47"/>
      <c r="BP111" s="47"/>
      <c r="BQ111" s="47"/>
      <c r="BR111" s="47"/>
      <c r="BS111" s="53"/>
      <c r="BT111" s="47"/>
      <c r="BU111" s="47"/>
      <c r="BV111" s="47"/>
      <c r="BW111" s="47"/>
      <c r="BX111" s="47"/>
      <c r="BY111" s="47"/>
      <c r="BZ111" s="47">
        <v>1673</v>
      </c>
      <c r="CA111" s="47"/>
      <c r="CB111" s="54">
        <f t="shared" si="44"/>
        <v>2120.8229000000001</v>
      </c>
      <c r="CC111" s="47">
        <v>6687.44</v>
      </c>
      <c r="CD111" s="57"/>
      <c r="CE111" s="47"/>
      <c r="CF111" s="47">
        <f t="shared" si="45"/>
        <v>8808.2628999999997</v>
      </c>
    </row>
    <row r="112" spans="1:84" ht="14.25" customHeight="1">
      <c r="A112" s="47">
        <v>105</v>
      </c>
      <c r="B112" s="47" t="s">
        <v>129</v>
      </c>
      <c r="C112" s="48">
        <v>502002</v>
      </c>
      <c r="D112" s="49" t="s">
        <v>239</v>
      </c>
      <c r="E112" s="49" t="s">
        <v>141</v>
      </c>
      <c r="F112" s="50">
        <f t="shared" si="46"/>
        <v>23</v>
      </c>
      <c r="G112" s="50">
        <v>5</v>
      </c>
      <c r="H112" s="50">
        <v>18</v>
      </c>
      <c r="I112" s="50"/>
      <c r="J112" s="50"/>
      <c r="K112" s="50"/>
      <c r="L112" s="50"/>
      <c r="M112" s="50"/>
      <c r="N112" s="50">
        <v>3</v>
      </c>
      <c r="O112" s="50">
        <f t="shared" si="47"/>
        <v>26</v>
      </c>
      <c r="P112" s="51">
        <f t="shared" si="34"/>
        <v>344.81309999999996</v>
      </c>
      <c r="Q112" s="51">
        <f t="shared" si="35"/>
        <v>243.63309999999998</v>
      </c>
      <c r="R112" s="47">
        <f t="shared" si="48"/>
        <v>72233</v>
      </c>
      <c r="S112" s="58">
        <v>72233</v>
      </c>
      <c r="T112" s="58"/>
      <c r="U112" s="47">
        <f t="shared" si="49"/>
        <v>86.679599999999994</v>
      </c>
      <c r="V112" s="51">
        <f t="shared" si="2"/>
        <v>51.75</v>
      </c>
      <c r="W112" s="47">
        <f t="shared" si="50"/>
        <v>51.75</v>
      </c>
      <c r="X112" s="47"/>
      <c r="Y112" s="47"/>
      <c r="Z112" s="47"/>
      <c r="AA112" s="47"/>
      <c r="AB112" s="51">
        <f t="shared" si="64"/>
        <v>42.049700000000001</v>
      </c>
      <c r="AC112" s="47">
        <f t="shared" si="52"/>
        <v>7.2233000000000001</v>
      </c>
      <c r="AD112" s="47"/>
      <c r="AE112" s="47"/>
      <c r="AF112" s="47">
        <f t="shared" si="53"/>
        <v>34.8264</v>
      </c>
      <c r="AG112" s="47">
        <v>29022</v>
      </c>
      <c r="AH112" s="47"/>
      <c r="AI112" s="47">
        <f t="shared" si="54"/>
        <v>0</v>
      </c>
      <c r="AJ112" s="53">
        <f t="shared" si="55"/>
        <v>28.8767</v>
      </c>
      <c r="AK112" s="53">
        <f t="shared" si="56"/>
        <v>288767</v>
      </c>
      <c r="AL112" s="47"/>
      <c r="AM112" s="47">
        <f t="shared" si="66"/>
        <v>11.789</v>
      </c>
      <c r="AN112" s="47">
        <f t="shared" si="67"/>
        <v>11.0969</v>
      </c>
      <c r="AO112" s="47">
        <f t="shared" si="57"/>
        <v>110969</v>
      </c>
      <c r="AP112" s="47">
        <f t="shared" si="38"/>
        <v>0.69210000000000005</v>
      </c>
      <c r="AQ112" s="47">
        <f t="shared" si="58"/>
        <v>6921.0000000000009</v>
      </c>
      <c r="AR112" s="47"/>
      <c r="AS112" s="47">
        <f t="shared" si="59"/>
        <v>0.8306</v>
      </c>
      <c r="AT112" s="47">
        <f t="shared" si="68"/>
        <v>0.8306</v>
      </c>
      <c r="AU112" s="47">
        <f t="shared" si="60"/>
        <v>8306</v>
      </c>
      <c r="AV112" s="47">
        <f t="shared" si="69"/>
        <v>0</v>
      </c>
      <c r="AW112" s="47">
        <f t="shared" si="61"/>
        <v>0</v>
      </c>
      <c r="AX112" s="47">
        <f t="shared" si="41"/>
        <v>21.657499999999999</v>
      </c>
      <c r="AY112" s="47"/>
      <c r="AZ112" s="47"/>
      <c r="BA112" s="54">
        <v>1E-4</v>
      </c>
      <c r="BB112" s="55" t="s">
        <v>239</v>
      </c>
      <c r="BC112" s="51">
        <f t="shared" si="62"/>
        <v>101.18</v>
      </c>
      <c r="BD112" s="47">
        <f t="shared" si="65"/>
        <v>27.599999999999998</v>
      </c>
      <c r="BE112" s="47">
        <f t="shared" si="63"/>
        <v>14.58</v>
      </c>
      <c r="BF112" s="47">
        <v>12150</v>
      </c>
      <c r="BG112" s="56">
        <v>27</v>
      </c>
      <c r="BH112" s="47">
        <v>32</v>
      </c>
      <c r="BI112" s="51">
        <f t="shared" si="42"/>
        <v>0</v>
      </c>
      <c r="BJ112" s="51">
        <f t="shared" si="43"/>
        <v>0</v>
      </c>
      <c r="BK112" s="47"/>
      <c r="BL112" s="47"/>
      <c r="BM112" s="47"/>
      <c r="BN112" s="47"/>
      <c r="BO112" s="47"/>
      <c r="BP112" s="47"/>
      <c r="BQ112" s="47"/>
      <c r="BR112" s="47"/>
      <c r="BS112" s="53"/>
      <c r="BT112" s="47"/>
      <c r="BU112" s="47"/>
      <c r="BV112" s="47"/>
      <c r="BW112" s="47"/>
      <c r="BX112" s="47">
        <v>46</v>
      </c>
      <c r="BY112" s="47">
        <v>20</v>
      </c>
      <c r="BZ112" s="47">
        <v>500</v>
      </c>
      <c r="CA112" s="47"/>
      <c r="CB112" s="54">
        <f t="shared" si="44"/>
        <v>910.81309999999996</v>
      </c>
      <c r="CC112" s="47"/>
      <c r="CD112" s="57"/>
      <c r="CE112" s="47"/>
      <c r="CF112" s="47">
        <f t="shared" si="45"/>
        <v>910.81309999999996</v>
      </c>
    </row>
    <row r="113" spans="1:84" ht="14.25" customHeight="1">
      <c r="A113" s="47">
        <v>106</v>
      </c>
      <c r="B113" s="47" t="s">
        <v>129</v>
      </c>
      <c r="C113" s="48">
        <v>502003</v>
      </c>
      <c r="D113" s="49" t="s">
        <v>240</v>
      </c>
      <c r="E113" s="49" t="s">
        <v>150</v>
      </c>
      <c r="F113" s="50">
        <f t="shared" si="46"/>
        <v>21</v>
      </c>
      <c r="G113" s="50"/>
      <c r="H113" s="50"/>
      <c r="I113" s="50">
        <v>6</v>
      </c>
      <c r="J113" s="50">
        <v>15</v>
      </c>
      <c r="K113" s="50"/>
      <c r="L113" s="50">
        <v>3</v>
      </c>
      <c r="M113" s="50"/>
      <c r="N113" s="50">
        <v>19</v>
      </c>
      <c r="O113" s="50">
        <f t="shared" si="47"/>
        <v>43</v>
      </c>
      <c r="P113" s="51">
        <f t="shared" si="34"/>
        <v>309.29430000000002</v>
      </c>
      <c r="Q113" s="51">
        <f t="shared" si="35"/>
        <v>264.30630000000002</v>
      </c>
      <c r="R113" s="47">
        <f t="shared" si="48"/>
        <v>72478</v>
      </c>
      <c r="S113" s="58"/>
      <c r="T113" s="58">
        <v>72478</v>
      </c>
      <c r="U113" s="47">
        <f t="shared" ref="U113:U118" si="70">ROUND(R113*12/10000,5)+L113*2</f>
        <v>92.973600000000005</v>
      </c>
      <c r="V113" s="51">
        <f t="shared" si="2"/>
        <v>20.952000000000002</v>
      </c>
      <c r="W113" s="47">
        <f t="shared" si="50"/>
        <v>0</v>
      </c>
      <c r="X113" s="67">
        <v>20.952000000000002</v>
      </c>
      <c r="Y113" s="47"/>
      <c r="Z113" s="47"/>
      <c r="AA113" s="47"/>
      <c r="AB113" s="51">
        <f t="shared" si="64"/>
        <v>31.643999999999998</v>
      </c>
      <c r="AC113" s="47">
        <f t="shared" si="52"/>
        <v>0</v>
      </c>
      <c r="AD113" s="47">
        <v>4.2839999999999998</v>
      </c>
      <c r="AE113" s="47"/>
      <c r="AF113" s="47">
        <f t="shared" si="53"/>
        <v>27.36</v>
      </c>
      <c r="AG113" s="47">
        <v>22800</v>
      </c>
      <c r="AH113" s="47"/>
      <c r="AI113" s="47">
        <f t="shared" ref="AI113:AI118" si="71">ROUND(2.59*(I113+J113+K113),4)+L113*2.59*0.4</f>
        <v>57.497999999999998</v>
      </c>
      <c r="AJ113" s="53">
        <v>26.995799999999999</v>
      </c>
      <c r="AK113" s="53">
        <v>269958</v>
      </c>
      <c r="AL113" s="47"/>
      <c r="AM113" s="47">
        <v>12.1584</v>
      </c>
      <c r="AN113" s="47">
        <v>11.451599999999999</v>
      </c>
      <c r="AO113" s="47">
        <v>114516</v>
      </c>
      <c r="AP113" s="47">
        <v>0.70679999999999998</v>
      </c>
      <c r="AQ113" s="47">
        <v>7068</v>
      </c>
      <c r="AR113" s="47"/>
      <c r="AS113" s="47">
        <v>1.8376999999999999</v>
      </c>
      <c r="AT113" s="47">
        <v>0.84819999999999995</v>
      </c>
      <c r="AU113" s="47">
        <v>8482</v>
      </c>
      <c r="AV113" s="47">
        <v>0.98950000000000005</v>
      </c>
      <c r="AW113" s="47">
        <v>9895</v>
      </c>
      <c r="AX113" s="47">
        <v>20.2468</v>
      </c>
      <c r="AY113" s="47"/>
      <c r="AZ113" s="47"/>
      <c r="BA113" s="54">
        <v>1E-4</v>
      </c>
      <c r="BB113" s="55" t="s">
        <v>240</v>
      </c>
      <c r="BC113" s="51">
        <f t="shared" si="62"/>
        <v>44.16</v>
      </c>
      <c r="BD113" s="47">
        <f t="shared" si="65"/>
        <v>20.16</v>
      </c>
      <c r="BE113" s="47">
        <f t="shared" si="63"/>
        <v>0</v>
      </c>
      <c r="BF113" s="47"/>
      <c r="BG113" s="56">
        <v>24</v>
      </c>
      <c r="BH113" s="47"/>
      <c r="BI113" s="51">
        <f t="shared" si="42"/>
        <v>0.82799999999999996</v>
      </c>
      <c r="BJ113" s="51">
        <f t="shared" si="43"/>
        <v>0</v>
      </c>
      <c r="BK113" s="47"/>
      <c r="BL113" s="47"/>
      <c r="BM113" s="47"/>
      <c r="BN113" s="47"/>
      <c r="BO113" s="47"/>
      <c r="BP113" s="68">
        <v>0.82799999999999996</v>
      </c>
      <c r="BQ113" s="47"/>
      <c r="BR113" s="47"/>
      <c r="BS113" s="53"/>
      <c r="BT113" s="47"/>
      <c r="BU113" s="47"/>
      <c r="BV113" s="47"/>
      <c r="BW113" s="47"/>
      <c r="BX113" s="47"/>
      <c r="BY113" s="47"/>
      <c r="BZ113" s="47"/>
      <c r="CA113" s="47"/>
      <c r="CB113" s="54">
        <f t="shared" si="44"/>
        <v>309.29430000000002</v>
      </c>
      <c r="CC113" s="47"/>
      <c r="CD113" s="57"/>
      <c r="CE113" s="47"/>
      <c r="CF113" s="47">
        <f t="shared" si="45"/>
        <v>309.29430000000002</v>
      </c>
    </row>
    <row r="114" spans="1:84" ht="14.25" customHeight="1">
      <c r="A114" s="47">
        <v>107</v>
      </c>
      <c r="B114" s="47" t="s">
        <v>129</v>
      </c>
      <c r="C114" s="48">
        <v>502004</v>
      </c>
      <c r="D114" s="71" t="s">
        <v>241</v>
      </c>
      <c r="E114" s="49" t="s">
        <v>150</v>
      </c>
      <c r="F114" s="50">
        <f t="shared" si="46"/>
        <v>20</v>
      </c>
      <c r="G114" s="50"/>
      <c r="H114" s="50"/>
      <c r="I114" s="50">
        <v>9</v>
      </c>
      <c r="J114" s="50">
        <v>11</v>
      </c>
      <c r="K114" s="50"/>
      <c r="L114" s="50">
        <v>13</v>
      </c>
      <c r="M114" s="50"/>
      <c r="N114" s="50">
        <v>29</v>
      </c>
      <c r="O114" s="50">
        <f t="shared" si="47"/>
        <v>62</v>
      </c>
      <c r="P114" s="51">
        <f t="shared" si="34"/>
        <v>317.26069999999999</v>
      </c>
      <c r="Q114" s="51">
        <f t="shared" si="35"/>
        <v>298.0607</v>
      </c>
      <c r="R114" s="47">
        <f t="shared" si="48"/>
        <v>76089</v>
      </c>
      <c r="S114" s="58"/>
      <c r="T114" s="58">
        <v>76089</v>
      </c>
      <c r="U114" s="47">
        <f t="shared" si="70"/>
        <v>117.3068</v>
      </c>
      <c r="V114" s="51">
        <f t="shared" si="2"/>
        <v>20.23</v>
      </c>
      <c r="W114" s="47">
        <f t="shared" si="50"/>
        <v>0</v>
      </c>
      <c r="X114" s="67">
        <v>20.23</v>
      </c>
      <c r="Y114" s="47"/>
      <c r="Z114" s="47"/>
      <c r="AA114" s="47"/>
      <c r="AB114" s="51">
        <f t="shared" si="64"/>
        <v>32.880000000000003</v>
      </c>
      <c r="AC114" s="47">
        <f t="shared" si="52"/>
        <v>0</v>
      </c>
      <c r="AD114" s="47">
        <v>4.08</v>
      </c>
      <c r="AE114" s="47"/>
      <c r="AF114" s="47">
        <f t="shared" si="53"/>
        <v>28.8</v>
      </c>
      <c r="AG114" s="47">
        <v>24000</v>
      </c>
      <c r="AH114" s="47"/>
      <c r="AI114" s="47">
        <f t="shared" si="71"/>
        <v>65.268000000000001</v>
      </c>
      <c r="AJ114" s="53">
        <v>27.505099999999999</v>
      </c>
      <c r="AK114" s="53">
        <v>275051</v>
      </c>
      <c r="AL114" s="47"/>
      <c r="AM114" s="47">
        <v>12.381600000000001</v>
      </c>
      <c r="AN114" s="47">
        <v>11.666</v>
      </c>
      <c r="AO114" s="47">
        <v>116660</v>
      </c>
      <c r="AP114" s="47">
        <v>0.71550000000000002</v>
      </c>
      <c r="AQ114" s="47">
        <v>7155</v>
      </c>
      <c r="AR114" s="47"/>
      <c r="AS114" s="47">
        <v>1.8604000000000001</v>
      </c>
      <c r="AT114" s="47">
        <v>0.85860000000000003</v>
      </c>
      <c r="AU114" s="47">
        <v>8586</v>
      </c>
      <c r="AV114" s="47">
        <v>1.0017</v>
      </c>
      <c r="AW114" s="47">
        <v>10017</v>
      </c>
      <c r="AX114" s="47">
        <v>20.628799999999998</v>
      </c>
      <c r="AY114" s="47"/>
      <c r="AZ114" s="47"/>
      <c r="BA114" s="54">
        <v>1E-4</v>
      </c>
      <c r="BB114" s="71" t="s">
        <v>241</v>
      </c>
      <c r="BC114" s="51">
        <f t="shared" si="62"/>
        <v>19.2</v>
      </c>
      <c r="BD114" s="47">
        <f t="shared" si="65"/>
        <v>19.2</v>
      </c>
      <c r="BE114" s="47">
        <f t="shared" si="63"/>
        <v>0</v>
      </c>
      <c r="BF114" s="47"/>
      <c r="BG114" s="56">
        <v>0</v>
      </c>
      <c r="BH114" s="47"/>
      <c r="BI114" s="51">
        <f t="shared" si="42"/>
        <v>0</v>
      </c>
      <c r="BJ114" s="51">
        <f t="shared" si="43"/>
        <v>0</v>
      </c>
      <c r="BK114" s="47"/>
      <c r="BL114" s="47"/>
      <c r="BM114" s="47"/>
      <c r="BN114" s="47"/>
      <c r="BO114" s="47"/>
      <c r="BP114" s="47"/>
      <c r="BQ114" s="47"/>
      <c r="BR114" s="47"/>
      <c r="BS114" s="53"/>
      <c r="BT114" s="47"/>
      <c r="BU114" s="47"/>
      <c r="BV114" s="47"/>
      <c r="BW114" s="47"/>
      <c r="BX114" s="47"/>
      <c r="BY114" s="47"/>
      <c r="BZ114" s="47"/>
      <c r="CA114" s="47"/>
      <c r="CB114" s="54">
        <f t="shared" si="44"/>
        <v>317.26069999999999</v>
      </c>
      <c r="CC114" s="47"/>
      <c r="CD114" s="57"/>
      <c r="CE114" s="47"/>
      <c r="CF114" s="47">
        <f t="shared" si="45"/>
        <v>317.26069999999999</v>
      </c>
    </row>
    <row r="115" spans="1:84" ht="14.25" customHeight="1">
      <c r="A115" s="47">
        <v>108</v>
      </c>
      <c r="B115" s="47" t="s">
        <v>129</v>
      </c>
      <c r="C115" s="48">
        <v>502005</v>
      </c>
      <c r="D115" s="71" t="s">
        <v>242</v>
      </c>
      <c r="E115" s="49" t="s">
        <v>150</v>
      </c>
      <c r="F115" s="50">
        <f t="shared" si="46"/>
        <v>20</v>
      </c>
      <c r="G115" s="50"/>
      <c r="H115" s="50"/>
      <c r="I115" s="50">
        <v>8</v>
      </c>
      <c r="J115" s="50">
        <v>12</v>
      </c>
      <c r="K115" s="50"/>
      <c r="L115" s="50">
        <v>5</v>
      </c>
      <c r="M115" s="50"/>
      <c r="N115" s="50">
        <v>35</v>
      </c>
      <c r="O115" s="50">
        <f t="shared" si="47"/>
        <v>60</v>
      </c>
      <c r="P115" s="51">
        <f t="shared" si="34"/>
        <v>289.40729999999996</v>
      </c>
      <c r="Q115" s="51">
        <f t="shared" si="35"/>
        <v>269.4513</v>
      </c>
      <c r="R115" s="47">
        <f t="shared" si="48"/>
        <v>71546</v>
      </c>
      <c r="S115" s="58"/>
      <c r="T115" s="58">
        <v>71546</v>
      </c>
      <c r="U115" s="47">
        <f t="shared" si="70"/>
        <v>95.855199999999996</v>
      </c>
      <c r="V115" s="51">
        <f t="shared" si="2"/>
        <v>20.376000000000001</v>
      </c>
      <c r="W115" s="47">
        <f t="shared" si="50"/>
        <v>0</v>
      </c>
      <c r="X115" s="67">
        <v>20.376000000000001</v>
      </c>
      <c r="Y115" s="47"/>
      <c r="Z115" s="47"/>
      <c r="AA115" s="47"/>
      <c r="AB115" s="51">
        <f t="shared" si="64"/>
        <v>32.880000000000003</v>
      </c>
      <c r="AC115" s="47">
        <f t="shared" si="52"/>
        <v>0</v>
      </c>
      <c r="AD115" s="47">
        <v>4.08</v>
      </c>
      <c r="AE115" s="47"/>
      <c r="AF115" s="47">
        <f t="shared" si="53"/>
        <v>28.8</v>
      </c>
      <c r="AG115" s="47">
        <v>24000</v>
      </c>
      <c r="AH115" s="47"/>
      <c r="AI115" s="47">
        <f t="shared" si="71"/>
        <v>56.98</v>
      </c>
      <c r="AJ115" s="53">
        <v>26.6328</v>
      </c>
      <c r="AK115" s="53">
        <v>266328</v>
      </c>
      <c r="AL115" s="47"/>
      <c r="AM115" s="47">
        <v>11.963200000000001</v>
      </c>
      <c r="AN115" s="47">
        <v>11.274900000000001</v>
      </c>
      <c r="AO115" s="47">
        <v>112749</v>
      </c>
      <c r="AP115" s="47">
        <v>0.68830000000000002</v>
      </c>
      <c r="AQ115" s="47">
        <v>6883</v>
      </c>
      <c r="AR115" s="47"/>
      <c r="AS115" s="47">
        <v>1.7895000000000001</v>
      </c>
      <c r="AT115" s="47">
        <v>0.82589999999999997</v>
      </c>
      <c r="AU115" s="47">
        <v>8259</v>
      </c>
      <c r="AV115" s="47">
        <v>0.96360000000000001</v>
      </c>
      <c r="AW115" s="47">
        <v>9636</v>
      </c>
      <c r="AX115" s="47">
        <v>19.974599999999999</v>
      </c>
      <c r="AY115" s="47"/>
      <c r="AZ115" s="47">
        <v>3</v>
      </c>
      <c r="BA115" s="54">
        <v>1E-4</v>
      </c>
      <c r="BB115" s="71" t="s">
        <v>242</v>
      </c>
      <c r="BC115" s="51">
        <f t="shared" si="62"/>
        <v>19.2</v>
      </c>
      <c r="BD115" s="47">
        <f t="shared" si="65"/>
        <v>19.2</v>
      </c>
      <c r="BE115" s="47">
        <f t="shared" si="63"/>
        <v>0</v>
      </c>
      <c r="BF115" s="47"/>
      <c r="BG115" s="56">
        <v>0</v>
      </c>
      <c r="BH115" s="47"/>
      <c r="BI115" s="51">
        <f t="shared" si="42"/>
        <v>0.75600000000000001</v>
      </c>
      <c r="BJ115" s="51">
        <f t="shared" si="43"/>
        <v>0</v>
      </c>
      <c r="BK115" s="47"/>
      <c r="BL115" s="47"/>
      <c r="BM115" s="47"/>
      <c r="BN115" s="47"/>
      <c r="BO115" s="47"/>
      <c r="BP115" s="68">
        <v>0.75600000000000001</v>
      </c>
      <c r="BQ115" s="47"/>
      <c r="BR115" s="47"/>
      <c r="BS115" s="53"/>
      <c r="BT115" s="47"/>
      <c r="BU115" s="47"/>
      <c r="BV115" s="47"/>
      <c r="BW115" s="47"/>
      <c r="BX115" s="47"/>
      <c r="BY115" s="47"/>
      <c r="BZ115" s="47"/>
      <c r="CA115" s="47"/>
      <c r="CB115" s="54">
        <f t="shared" si="44"/>
        <v>289.40729999999996</v>
      </c>
      <c r="CC115" s="47"/>
      <c r="CD115" s="57"/>
      <c r="CE115" s="47"/>
      <c r="CF115" s="47">
        <f t="shared" si="45"/>
        <v>289.40729999999996</v>
      </c>
    </row>
    <row r="116" spans="1:84" ht="14.25" customHeight="1">
      <c r="A116" s="47">
        <v>109</v>
      </c>
      <c r="B116" s="47" t="s">
        <v>129</v>
      </c>
      <c r="C116" s="48">
        <v>502006</v>
      </c>
      <c r="D116" s="71" t="s">
        <v>243</v>
      </c>
      <c r="E116" s="49" t="s">
        <v>150</v>
      </c>
      <c r="F116" s="50">
        <f t="shared" si="46"/>
        <v>15</v>
      </c>
      <c r="G116" s="50"/>
      <c r="H116" s="50"/>
      <c r="I116" s="50">
        <v>15</v>
      </c>
      <c r="J116" s="50"/>
      <c r="K116" s="50"/>
      <c r="L116" s="50">
        <v>2</v>
      </c>
      <c r="M116" s="50"/>
      <c r="N116" s="50">
        <v>11</v>
      </c>
      <c r="O116" s="50">
        <f t="shared" si="47"/>
        <v>28</v>
      </c>
      <c r="P116" s="51">
        <f t="shared" si="34"/>
        <v>206.32929999999999</v>
      </c>
      <c r="Q116" s="51">
        <f t="shared" si="35"/>
        <v>191.92929999999998</v>
      </c>
      <c r="R116" s="47">
        <f t="shared" si="48"/>
        <v>52126</v>
      </c>
      <c r="S116" s="58"/>
      <c r="T116" s="58">
        <v>52126</v>
      </c>
      <c r="U116" s="47">
        <f t="shared" si="70"/>
        <v>66.551199999999994</v>
      </c>
      <c r="V116" s="51">
        <f t="shared" si="2"/>
        <v>15.336</v>
      </c>
      <c r="W116" s="47">
        <f t="shared" si="50"/>
        <v>0</v>
      </c>
      <c r="X116" s="67">
        <v>15.336</v>
      </c>
      <c r="Y116" s="47"/>
      <c r="Z116" s="47"/>
      <c r="AA116" s="47"/>
      <c r="AB116" s="51">
        <f t="shared" si="64"/>
        <v>24.66</v>
      </c>
      <c r="AC116" s="47">
        <f t="shared" si="52"/>
        <v>0</v>
      </c>
      <c r="AD116" s="47">
        <v>3.06</v>
      </c>
      <c r="AE116" s="47"/>
      <c r="AF116" s="47">
        <f t="shared" si="53"/>
        <v>21.6</v>
      </c>
      <c r="AG116" s="47">
        <v>18000</v>
      </c>
      <c r="AH116" s="47"/>
      <c r="AI116" s="47">
        <f t="shared" si="71"/>
        <v>40.922000000000004</v>
      </c>
      <c r="AJ116" s="53">
        <v>19.680199999999999</v>
      </c>
      <c r="AK116" s="53">
        <v>196802</v>
      </c>
      <c r="AL116" s="47"/>
      <c r="AM116" s="47">
        <v>8.7015999999999991</v>
      </c>
      <c r="AN116" s="47">
        <v>8.1945999999999994</v>
      </c>
      <c r="AO116" s="47">
        <v>81946</v>
      </c>
      <c r="AP116" s="47">
        <v>0.50700000000000001</v>
      </c>
      <c r="AQ116" s="47">
        <v>5070</v>
      </c>
      <c r="AR116" s="47"/>
      <c r="AS116" s="47">
        <v>1.3182</v>
      </c>
      <c r="AT116" s="47">
        <v>0.60840000000000005</v>
      </c>
      <c r="AU116" s="47">
        <v>6084</v>
      </c>
      <c r="AV116" s="47">
        <v>0.70979999999999999</v>
      </c>
      <c r="AW116" s="47">
        <v>7098</v>
      </c>
      <c r="AX116" s="47">
        <v>14.7601</v>
      </c>
      <c r="AY116" s="47"/>
      <c r="AZ116" s="47"/>
      <c r="BA116" s="54">
        <v>1E-4</v>
      </c>
      <c r="BB116" s="71" t="s">
        <v>243</v>
      </c>
      <c r="BC116" s="51">
        <f t="shared" si="62"/>
        <v>14.399999999999999</v>
      </c>
      <c r="BD116" s="47">
        <f t="shared" si="65"/>
        <v>14.399999999999999</v>
      </c>
      <c r="BE116" s="47">
        <f t="shared" si="63"/>
        <v>0</v>
      </c>
      <c r="BF116" s="47"/>
      <c r="BG116" s="56">
        <v>0</v>
      </c>
      <c r="BH116" s="47"/>
      <c r="BI116" s="51">
        <f t="shared" si="42"/>
        <v>0</v>
      </c>
      <c r="BJ116" s="51">
        <f t="shared" si="43"/>
        <v>0</v>
      </c>
      <c r="BK116" s="47"/>
      <c r="BL116" s="47"/>
      <c r="BM116" s="47"/>
      <c r="BN116" s="47"/>
      <c r="BO116" s="47"/>
      <c r="BP116" s="47"/>
      <c r="BQ116" s="47"/>
      <c r="BR116" s="47"/>
      <c r="BS116" s="53"/>
      <c r="BT116" s="47"/>
      <c r="BU116" s="47"/>
      <c r="BV116" s="47"/>
      <c r="BW116" s="47"/>
      <c r="BX116" s="47"/>
      <c r="BY116" s="47"/>
      <c r="BZ116" s="47">
        <v>4186</v>
      </c>
      <c r="CA116" s="47"/>
      <c r="CB116" s="54">
        <f t="shared" si="44"/>
        <v>4392.3293000000003</v>
      </c>
      <c r="CC116" s="47"/>
      <c r="CD116" s="57"/>
      <c r="CE116" s="47"/>
      <c r="CF116" s="47">
        <f t="shared" si="45"/>
        <v>4392.3293000000003</v>
      </c>
    </row>
    <row r="117" spans="1:84" ht="14.25" customHeight="1">
      <c r="A117" s="47">
        <v>110</v>
      </c>
      <c r="B117" s="47" t="s">
        <v>129</v>
      </c>
      <c r="C117" s="48">
        <v>502007</v>
      </c>
      <c r="D117" s="71" t="s">
        <v>244</v>
      </c>
      <c r="E117" s="49" t="s">
        <v>150</v>
      </c>
      <c r="F117" s="50">
        <f t="shared" si="46"/>
        <v>8</v>
      </c>
      <c r="G117" s="50"/>
      <c r="H117" s="50"/>
      <c r="I117" s="50">
        <v>4</v>
      </c>
      <c r="J117" s="50">
        <v>4</v>
      </c>
      <c r="K117" s="50"/>
      <c r="L117" s="50">
        <v>11</v>
      </c>
      <c r="M117" s="50"/>
      <c r="N117" s="50">
        <v>27</v>
      </c>
      <c r="O117" s="50">
        <f t="shared" si="47"/>
        <v>46</v>
      </c>
      <c r="P117" s="51">
        <f t="shared" si="34"/>
        <v>174.4042</v>
      </c>
      <c r="Q117" s="51">
        <f t="shared" si="35"/>
        <v>161.2122</v>
      </c>
      <c r="R117" s="47">
        <f t="shared" si="48"/>
        <v>30699</v>
      </c>
      <c r="S117" s="58"/>
      <c r="T117" s="58">
        <v>30699</v>
      </c>
      <c r="U117" s="47">
        <f t="shared" si="70"/>
        <v>58.838799999999999</v>
      </c>
      <c r="V117" s="51">
        <f t="shared" si="2"/>
        <v>7.92</v>
      </c>
      <c r="W117" s="47">
        <f t="shared" si="50"/>
        <v>0</v>
      </c>
      <c r="X117" s="67">
        <v>7.92</v>
      </c>
      <c r="Y117" s="47"/>
      <c r="Z117" s="47"/>
      <c r="AA117" s="47"/>
      <c r="AB117" s="51">
        <f t="shared" si="64"/>
        <v>13.151999999999999</v>
      </c>
      <c r="AC117" s="47">
        <f t="shared" si="52"/>
        <v>0</v>
      </c>
      <c r="AD117" s="47">
        <v>1.6319999999999999</v>
      </c>
      <c r="AE117" s="47"/>
      <c r="AF117" s="47">
        <f t="shared" si="53"/>
        <v>11.52</v>
      </c>
      <c r="AG117" s="47">
        <v>9600</v>
      </c>
      <c r="AH117" s="47"/>
      <c r="AI117" s="47">
        <f t="shared" si="71"/>
        <v>32.116</v>
      </c>
      <c r="AJ117" s="53">
        <v>11.0526</v>
      </c>
      <c r="AK117" s="53">
        <v>110526</v>
      </c>
      <c r="AL117" s="47"/>
      <c r="AM117" s="47">
        <v>5.0949999999999998</v>
      </c>
      <c r="AN117" s="47">
        <v>4.8071999999999999</v>
      </c>
      <c r="AO117" s="47">
        <v>48072</v>
      </c>
      <c r="AP117" s="47">
        <v>0.2878</v>
      </c>
      <c r="AQ117" s="47">
        <v>2878</v>
      </c>
      <c r="AR117" s="47"/>
      <c r="AS117" s="47">
        <v>0.74829999999999997</v>
      </c>
      <c r="AT117" s="47">
        <v>0.34539999999999998</v>
      </c>
      <c r="AU117" s="47">
        <v>3454</v>
      </c>
      <c r="AV117" s="47">
        <v>0.40289999999999998</v>
      </c>
      <c r="AW117" s="47">
        <v>4029</v>
      </c>
      <c r="AX117" s="47">
        <v>8.2895000000000003</v>
      </c>
      <c r="AY117" s="47"/>
      <c r="AZ117" s="47">
        <v>24</v>
      </c>
      <c r="BA117" s="54">
        <v>1E-4</v>
      </c>
      <c r="BB117" s="71" t="s">
        <v>244</v>
      </c>
      <c r="BC117" s="51">
        <f t="shared" si="62"/>
        <v>11.68</v>
      </c>
      <c r="BD117" s="47">
        <f t="shared" si="65"/>
        <v>7.68</v>
      </c>
      <c r="BE117" s="47">
        <f t="shared" si="63"/>
        <v>0</v>
      </c>
      <c r="BF117" s="47"/>
      <c r="BG117" s="56">
        <v>4</v>
      </c>
      <c r="BH117" s="47"/>
      <c r="BI117" s="51">
        <f t="shared" si="42"/>
        <v>1.512</v>
      </c>
      <c r="BJ117" s="51">
        <f t="shared" si="43"/>
        <v>0</v>
      </c>
      <c r="BK117" s="47"/>
      <c r="BL117" s="47"/>
      <c r="BM117" s="47"/>
      <c r="BN117" s="47"/>
      <c r="BO117" s="47"/>
      <c r="BP117" s="68">
        <v>1.512</v>
      </c>
      <c r="BQ117" s="47"/>
      <c r="BR117" s="47"/>
      <c r="BS117" s="53"/>
      <c r="BT117" s="47"/>
      <c r="BU117" s="47"/>
      <c r="BV117" s="47"/>
      <c r="BW117" s="47"/>
      <c r="BX117" s="47"/>
      <c r="BY117" s="47"/>
      <c r="BZ117" s="47"/>
      <c r="CA117" s="47"/>
      <c r="CB117" s="54">
        <f t="shared" si="44"/>
        <v>174.4042</v>
      </c>
      <c r="CC117" s="47"/>
      <c r="CD117" s="57"/>
      <c r="CE117" s="47"/>
      <c r="CF117" s="47">
        <f t="shared" si="45"/>
        <v>174.4042</v>
      </c>
    </row>
    <row r="118" spans="1:84" ht="14.25" customHeight="1">
      <c r="A118" s="47">
        <v>111</v>
      </c>
      <c r="B118" s="47" t="s">
        <v>129</v>
      </c>
      <c r="C118" s="48">
        <v>502008</v>
      </c>
      <c r="D118" s="49" t="s">
        <v>245</v>
      </c>
      <c r="E118" s="49" t="s">
        <v>150</v>
      </c>
      <c r="F118" s="50">
        <f t="shared" si="46"/>
        <v>5</v>
      </c>
      <c r="G118" s="50"/>
      <c r="H118" s="50"/>
      <c r="I118" s="50">
        <v>4</v>
      </c>
      <c r="J118" s="50">
        <v>1</v>
      </c>
      <c r="K118" s="50"/>
      <c r="L118" s="50">
        <v>1</v>
      </c>
      <c r="M118" s="50"/>
      <c r="N118" s="50">
        <v>5</v>
      </c>
      <c r="O118" s="50">
        <f t="shared" si="47"/>
        <v>11</v>
      </c>
      <c r="P118" s="51">
        <f t="shared" si="34"/>
        <v>88.678299999999993</v>
      </c>
      <c r="Q118" s="51">
        <f t="shared" si="35"/>
        <v>60.878299999999996</v>
      </c>
      <c r="R118" s="47">
        <f t="shared" si="48"/>
        <v>18592</v>
      </c>
      <c r="S118" s="58"/>
      <c r="T118" s="58">
        <v>18592</v>
      </c>
      <c r="U118" s="47">
        <f t="shared" si="70"/>
        <v>24.310400000000001</v>
      </c>
      <c r="V118" s="51">
        <f t="shared" si="2"/>
        <v>0</v>
      </c>
      <c r="W118" s="47">
        <f t="shared" si="50"/>
        <v>0</v>
      </c>
      <c r="X118" s="47"/>
      <c r="Y118" s="47"/>
      <c r="Z118" s="47"/>
      <c r="AA118" s="47"/>
      <c r="AB118" s="51">
        <f t="shared" si="64"/>
        <v>7.2</v>
      </c>
      <c r="AC118" s="47">
        <f t="shared" si="52"/>
        <v>0</v>
      </c>
      <c r="AD118" s="47"/>
      <c r="AE118" s="47"/>
      <c r="AF118" s="47">
        <f t="shared" si="53"/>
        <v>7.2</v>
      </c>
      <c r="AG118" s="47">
        <v>6000</v>
      </c>
      <c r="AH118" s="47"/>
      <c r="AI118" s="47">
        <f t="shared" si="71"/>
        <v>13.985999999999999</v>
      </c>
      <c r="AJ118" s="53">
        <v>6.7937000000000003</v>
      </c>
      <c r="AK118" s="53">
        <v>67937</v>
      </c>
      <c r="AL118" s="47"/>
      <c r="AM118" s="47">
        <v>3.0346000000000002</v>
      </c>
      <c r="AN118" s="47">
        <v>2.8582999999999998</v>
      </c>
      <c r="AO118" s="47">
        <v>28583</v>
      </c>
      <c r="AP118" s="47">
        <v>0.17630000000000001</v>
      </c>
      <c r="AQ118" s="47">
        <v>1763</v>
      </c>
      <c r="AR118" s="47"/>
      <c r="AS118" s="47">
        <v>0.45839999999999997</v>
      </c>
      <c r="AT118" s="47">
        <v>0.21160000000000001</v>
      </c>
      <c r="AU118" s="47">
        <v>2116</v>
      </c>
      <c r="AV118" s="47">
        <v>0.24679999999999999</v>
      </c>
      <c r="AW118" s="47">
        <v>2468</v>
      </c>
      <c r="AX118" s="47">
        <v>5.0952000000000002</v>
      </c>
      <c r="AY118" s="47"/>
      <c r="AZ118" s="47"/>
      <c r="BA118" s="54">
        <v>1E-4</v>
      </c>
      <c r="BB118" s="55" t="s">
        <v>245</v>
      </c>
      <c r="BC118" s="51">
        <f t="shared" si="62"/>
        <v>27.8</v>
      </c>
      <c r="BD118" s="47">
        <f t="shared" si="65"/>
        <v>4.8</v>
      </c>
      <c r="BE118" s="47">
        <f t="shared" si="63"/>
        <v>0</v>
      </c>
      <c r="BF118" s="47"/>
      <c r="BG118" s="56">
        <v>23</v>
      </c>
      <c r="BH118" s="47"/>
      <c r="BI118" s="51">
        <f t="shared" si="42"/>
        <v>0</v>
      </c>
      <c r="BJ118" s="51">
        <f t="shared" si="43"/>
        <v>0</v>
      </c>
      <c r="BK118" s="47"/>
      <c r="BL118" s="47"/>
      <c r="BM118" s="47"/>
      <c r="BN118" s="47"/>
      <c r="BO118" s="47"/>
      <c r="BP118" s="47"/>
      <c r="BQ118" s="47"/>
      <c r="BR118" s="47"/>
      <c r="BS118" s="53"/>
      <c r="BT118" s="47"/>
      <c r="BU118" s="47"/>
      <c r="BV118" s="47"/>
      <c r="BW118" s="47"/>
      <c r="BX118" s="47">
        <v>35</v>
      </c>
      <c r="BY118" s="47"/>
      <c r="BZ118" s="47"/>
      <c r="CA118" s="47"/>
      <c r="CB118" s="54">
        <f t="shared" si="44"/>
        <v>123.67829999999999</v>
      </c>
      <c r="CC118" s="47"/>
      <c r="CD118" s="57"/>
      <c r="CE118" s="47"/>
      <c r="CF118" s="47">
        <f t="shared" si="45"/>
        <v>123.67829999999999</v>
      </c>
    </row>
    <row r="119" spans="1:84" ht="14.25" customHeight="1">
      <c r="A119" s="47">
        <v>112</v>
      </c>
      <c r="B119" s="47" t="s">
        <v>129</v>
      </c>
      <c r="C119" s="48">
        <v>602001</v>
      </c>
      <c r="D119" s="49" t="s">
        <v>246</v>
      </c>
      <c r="E119" s="49" t="s">
        <v>131</v>
      </c>
      <c r="F119" s="50">
        <f t="shared" si="46"/>
        <v>28</v>
      </c>
      <c r="G119" s="50">
        <v>13</v>
      </c>
      <c r="H119" s="50">
        <v>4</v>
      </c>
      <c r="I119" s="50">
        <v>11</v>
      </c>
      <c r="J119" s="50"/>
      <c r="K119" s="50"/>
      <c r="L119" s="50"/>
      <c r="M119" s="50"/>
      <c r="N119" s="50">
        <v>23</v>
      </c>
      <c r="O119" s="50">
        <f t="shared" si="47"/>
        <v>51</v>
      </c>
      <c r="P119" s="51">
        <f t="shared" si="34"/>
        <v>424.37420000000003</v>
      </c>
      <c r="Q119" s="51">
        <f t="shared" si="35"/>
        <v>303.6542</v>
      </c>
      <c r="R119" s="47">
        <f t="shared" si="48"/>
        <v>89686</v>
      </c>
      <c r="S119" s="58">
        <v>56394</v>
      </c>
      <c r="T119" s="51">
        <v>33292</v>
      </c>
      <c r="U119" s="47">
        <f t="shared" si="49"/>
        <v>107.6232</v>
      </c>
      <c r="V119" s="51">
        <f t="shared" si="2"/>
        <v>38.25</v>
      </c>
      <c r="W119" s="47">
        <f t="shared" si="50"/>
        <v>38.25</v>
      </c>
      <c r="X119" s="47"/>
      <c r="Y119" s="47"/>
      <c r="Z119" s="47"/>
      <c r="AA119" s="47"/>
      <c r="AB119" s="51">
        <f t="shared" si="64"/>
        <v>49.961400000000005</v>
      </c>
      <c r="AC119" s="47">
        <f t="shared" si="52"/>
        <v>5.6394000000000002</v>
      </c>
      <c r="AD119" s="47"/>
      <c r="AE119" s="47"/>
      <c r="AF119" s="47">
        <f t="shared" si="53"/>
        <v>44.322000000000003</v>
      </c>
      <c r="AG119" s="47">
        <v>36935</v>
      </c>
      <c r="AH119" s="47"/>
      <c r="AI119" s="47">
        <f t="shared" si="54"/>
        <v>28.49</v>
      </c>
      <c r="AJ119" s="53">
        <f t="shared" si="55"/>
        <v>35.8919</v>
      </c>
      <c r="AK119" s="53">
        <f t="shared" si="56"/>
        <v>358919</v>
      </c>
      <c r="AL119" s="47"/>
      <c r="AM119" s="47">
        <f t="shared" si="66"/>
        <v>14.993399999999999</v>
      </c>
      <c r="AN119" s="47">
        <f t="shared" si="67"/>
        <v>14.121600000000001</v>
      </c>
      <c r="AO119" s="47">
        <f t="shared" si="57"/>
        <v>141216</v>
      </c>
      <c r="AP119" s="47">
        <f t="shared" si="38"/>
        <v>0.87180000000000002</v>
      </c>
      <c r="AQ119" s="47">
        <f t="shared" si="58"/>
        <v>8718</v>
      </c>
      <c r="AR119" s="47"/>
      <c r="AS119" s="47">
        <f t="shared" si="59"/>
        <v>1.5253000000000001</v>
      </c>
      <c r="AT119" s="47">
        <f t="shared" si="68"/>
        <v>1.0462</v>
      </c>
      <c r="AU119" s="47">
        <f t="shared" si="60"/>
        <v>10462</v>
      </c>
      <c r="AV119" s="47">
        <f t="shared" si="69"/>
        <v>0.47910000000000003</v>
      </c>
      <c r="AW119" s="47">
        <f t="shared" si="61"/>
        <v>4791</v>
      </c>
      <c r="AX119" s="47">
        <f t="shared" ref="AX119:AX123" si="72">ROUND((U119+W119+AC119+AE119+AF119+AI119)*0.12,4)</f>
        <v>26.919</v>
      </c>
      <c r="AY119" s="47"/>
      <c r="AZ119" s="47"/>
      <c r="BA119" s="54">
        <v>1E-4</v>
      </c>
      <c r="BB119" s="55" t="s">
        <v>246</v>
      </c>
      <c r="BC119" s="51">
        <f t="shared" si="62"/>
        <v>114.78</v>
      </c>
      <c r="BD119" s="47">
        <f t="shared" si="65"/>
        <v>30.959999999999997</v>
      </c>
      <c r="BE119" s="47">
        <f t="shared" si="63"/>
        <v>11.82</v>
      </c>
      <c r="BF119" s="47">
        <v>9850</v>
      </c>
      <c r="BG119" s="56">
        <v>72</v>
      </c>
      <c r="BH119" s="47"/>
      <c r="BI119" s="51">
        <f t="shared" si="42"/>
        <v>5.94</v>
      </c>
      <c r="BJ119" s="51">
        <f t="shared" si="43"/>
        <v>0</v>
      </c>
      <c r="BK119" s="47"/>
      <c r="BL119" s="47"/>
      <c r="BM119" s="47"/>
      <c r="BN119" s="47"/>
      <c r="BO119" s="47"/>
      <c r="BP119" s="68">
        <v>5.94</v>
      </c>
      <c r="BQ119" s="47"/>
      <c r="BR119" s="47"/>
      <c r="BS119" s="53"/>
      <c r="BT119" s="47"/>
      <c r="BU119" s="47"/>
      <c r="BV119" s="47"/>
      <c r="BW119" s="47"/>
      <c r="BX119" s="47">
        <v>280</v>
      </c>
      <c r="BY119" s="47"/>
      <c r="BZ119" s="47">
        <f>1073.95-112</f>
        <v>961.95</v>
      </c>
      <c r="CA119" s="47"/>
      <c r="CB119" s="54">
        <f t="shared" si="44"/>
        <v>1666.3242</v>
      </c>
      <c r="CC119" s="47"/>
      <c r="CD119" s="57"/>
      <c r="CE119" s="47"/>
      <c r="CF119" s="47">
        <f t="shared" si="45"/>
        <v>1666.3242</v>
      </c>
    </row>
    <row r="120" spans="1:84" ht="14.25" customHeight="1">
      <c r="A120" s="47">
        <v>113</v>
      </c>
      <c r="B120" s="47" t="s">
        <v>129</v>
      </c>
      <c r="C120" s="48">
        <v>603001</v>
      </c>
      <c r="D120" s="49" t="s">
        <v>247</v>
      </c>
      <c r="E120" s="49" t="s">
        <v>131</v>
      </c>
      <c r="F120" s="50">
        <f t="shared" si="46"/>
        <v>38</v>
      </c>
      <c r="G120" s="50">
        <v>16</v>
      </c>
      <c r="H120" s="50">
        <v>4</v>
      </c>
      <c r="I120" s="50">
        <v>13</v>
      </c>
      <c r="J120" s="50">
        <v>5</v>
      </c>
      <c r="K120" s="50"/>
      <c r="L120" s="50"/>
      <c r="M120" s="50"/>
      <c r="N120" s="50">
        <v>16</v>
      </c>
      <c r="O120" s="50">
        <f t="shared" si="47"/>
        <v>54</v>
      </c>
      <c r="P120" s="51">
        <f t="shared" si="34"/>
        <v>783.78570000000002</v>
      </c>
      <c r="Q120" s="51">
        <f t="shared" si="35"/>
        <v>609.84569999999997</v>
      </c>
      <c r="R120" s="47">
        <f t="shared" si="48"/>
        <v>123159</v>
      </c>
      <c r="S120" s="58">
        <v>71842</v>
      </c>
      <c r="T120" s="51">
        <v>51317</v>
      </c>
      <c r="U120" s="47">
        <f t="shared" si="49"/>
        <v>147.79079999999999</v>
      </c>
      <c r="V120" s="51">
        <f t="shared" si="2"/>
        <v>59</v>
      </c>
      <c r="W120" s="47">
        <f t="shared" si="50"/>
        <v>45</v>
      </c>
      <c r="X120" s="47"/>
      <c r="Y120" s="47"/>
      <c r="Z120" s="47"/>
      <c r="AA120" s="47">
        <v>14</v>
      </c>
      <c r="AB120" s="51">
        <f t="shared" si="64"/>
        <v>67.762600000000006</v>
      </c>
      <c r="AC120" s="47">
        <f t="shared" si="52"/>
        <v>7.1841999999999997</v>
      </c>
      <c r="AD120" s="47"/>
      <c r="AE120" s="47"/>
      <c r="AF120" s="47">
        <f t="shared" si="53"/>
        <v>60.578400000000002</v>
      </c>
      <c r="AG120" s="47">
        <v>50482</v>
      </c>
      <c r="AH120" s="47"/>
      <c r="AI120" s="47">
        <f t="shared" si="54"/>
        <v>46.62</v>
      </c>
      <c r="AJ120" s="53">
        <f t="shared" si="55"/>
        <v>49.1477</v>
      </c>
      <c r="AK120" s="53">
        <f t="shared" si="56"/>
        <v>491477</v>
      </c>
      <c r="AL120" s="47"/>
      <c r="AM120" s="47">
        <f t="shared" si="66"/>
        <v>20.469899999999999</v>
      </c>
      <c r="AN120" s="47">
        <f t="shared" si="67"/>
        <v>19.2729</v>
      </c>
      <c r="AO120" s="47">
        <f t="shared" si="57"/>
        <v>192729</v>
      </c>
      <c r="AP120" s="47">
        <f t="shared" si="38"/>
        <v>1.1971000000000001</v>
      </c>
      <c r="AQ120" s="47">
        <f t="shared" si="58"/>
        <v>11971</v>
      </c>
      <c r="AR120" s="47"/>
      <c r="AS120" s="47">
        <f t="shared" si="59"/>
        <v>2.1939000000000002</v>
      </c>
      <c r="AT120" s="47">
        <f t="shared" si="68"/>
        <v>1.4365000000000001</v>
      </c>
      <c r="AU120" s="47">
        <f t="shared" si="60"/>
        <v>14365.000000000002</v>
      </c>
      <c r="AV120" s="47">
        <f t="shared" si="69"/>
        <v>0.75739999999999996</v>
      </c>
      <c r="AW120" s="47">
        <f t="shared" si="61"/>
        <v>7574</v>
      </c>
      <c r="AX120" s="47">
        <f t="shared" si="72"/>
        <v>36.860799999999998</v>
      </c>
      <c r="AY120" s="47"/>
      <c r="AZ120" s="67">
        <v>180</v>
      </c>
      <c r="BA120" s="54">
        <v>1E-4</v>
      </c>
      <c r="BB120" s="55" t="s">
        <v>247</v>
      </c>
      <c r="BC120" s="51">
        <f t="shared" si="62"/>
        <v>157.316</v>
      </c>
      <c r="BD120" s="47">
        <f t="shared" si="65"/>
        <v>41.28</v>
      </c>
      <c r="BE120" s="47">
        <f t="shared" si="63"/>
        <v>15.036</v>
      </c>
      <c r="BF120" s="47">
        <v>12530</v>
      </c>
      <c r="BG120" s="56">
        <v>71</v>
      </c>
      <c r="BH120" s="47">
        <v>30</v>
      </c>
      <c r="BI120" s="51">
        <f t="shared" si="42"/>
        <v>16.623999999999999</v>
      </c>
      <c r="BJ120" s="51">
        <f t="shared" si="43"/>
        <v>0</v>
      </c>
      <c r="BK120" s="47"/>
      <c r="BL120" s="47"/>
      <c r="BM120" s="47"/>
      <c r="BN120" s="47"/>
      <c r="BO120" s="47"/>
      <c r="BP120" s="68">
        <v>6.6239999999999997</v>
      </c>
      <c r="BQ120" s="47"/>
      <c r="BR120" s="47"/>
      <c r="BS120" s="53"/>
      <c r="BT120" s="47"/>
      <c r="BU120" s="47"/>
      <c r="BV120" s="47"/>
      <c r="BW120" s="68">
        <v>10</v>
      </c>
      <c r="BX120" s="47">
        <f>70.06+234</f>
        <v>304.06</v>
      </c>
      <c r="BY120" s="47"/>
      <c r="BZ120" s="47">
        <v>1468</v>
      </c>
      <c r="CA120" s="47"/>
      <c r="CB120" s="54">
        <f t="shared" si="44"/>
        <v>2555.8456999999999</v>
      </c>
      <c r="CC120" s="47"/>
      <c r="CD120" s="57"/>
      <c r="CE120" s="47"/>
      <c r="CF120" s="47">
        <f t="shared" si="45"/>
        <v>2555.8456999999999</v>
      </c>
    </row>
    <row r="121" spans="1:84" ht="14.25" customHeight="1">
      <c r="A121" s="47">
        <v>114</v>
      </c>
      <c r="B121" s="47" t="s">
        <v>129</v>
      </c>
      <c r="C121" s="48">
        <v>601001</v>
      </c>
      <c r="D121" s="49" t="s">
        <v>248</v>
      </c>
      <c r="E121" s="49" t="s">
        <v>131</v>
      </c>
      <c r="F121" s="50">
        <f t="shared" si="46"/>
        <v>36</v>
      </c>
      <c r="G121" s="50">
        <v>22</v>
      </c>
      <c r="H121" s="50">
        <v>5</v>
      </c>
      <c r="I121" s="50">
        <v>9</v>
      </c>
      <c r="J121" s="50"/>
      <c r="K121" s="50"/>
      <c r="L121" s="50"/>
      <c r="M121" s="50">
        <v>1</v>
      </c>
      <c r="N121" s="50">
        <v>57</v>
      </c>
      <c r="O121" s="50">
        <f t="shared" si="47"/>
        <v>94</v>
      </c>
      <c r="P121" s="51">
        <f t="shared" si="34"/>
        <v>617.03009999999995</v>
      </c>
      <c r="Q121" s="51">
        <f t="shared" si="35"/>
        <v>434.5761</v>
      </c>
      <c r="R121" s="47">
        <f t="shared" si="48"/>
        <v>137604</v>
      </c>
      <c r="S121" s="58">
        <v>112480</v>
      </c>
      <c r="T121" s="51">
        <v>25124</v>
      </c>
      <c r="U121" s="47">
        <f t="shared" si="49"/>
        <v>165.12479999999999</v>
      </c>
      <c r="V121" s="51">
        <f t="shared" si="2"/>
        <v>60.75</v>
      </c>
      <c r="W121" s="47">
        <f t="shared" si="50"/>
        <v>60.75</v>
      </c>
      <c r="X121" s="47"/>
      <c r="Y121" s="47"/>
      <c r="Z121" s="47"/>
      <c r="AA121" s="47"/>
      <c r="AB121" s="51">
        <f t="shared" si="64"/>
        <v>71.986000000000004</v>
      </c>
      <c r="AC121" s="47">
        <f t="shared" si="52"/>
        <v>11.247999999999999</v>
      </c>
      <c r="AD121" s="47"/>
      <c r="AE121" s="47"/>
      <c r="AF121" s="47">
        <f t="shared" si="53"/>
        <v>60.738</v>
      </c>
      <c r="AG121" s="47">
        <f>1200+44615+4800</f>
        <v>50615</v>
      </c>
      <c r="AH121" s="47"/>
      <c r="AI121" s="47">
        <f t="shared" si="54"/>
        <v>23.31</v>
      </c>
      <c r="AJ121" s="53">
        <f t="shared" si="55"/>
        <v>51.387300000000003</v>
      </c>
      <c r="AK121" s="53">
        <f t="shared" si="56"/>
        <v>513873.00000000006</v>
      </c>
      <c r="AL121" s="47"/>
      <c r="AM121" s="47">
        <f t="shared" si="66"/>
        <v>21.6082</v>
      </c>
      <c r="AN121" s="47">
        <f t="shared" si="67"/>
        <v>20.362300000000001</v>
      </c>
      <c r="AO121" s="47">
        <f t="shared" si="57"/>
        <v>203623</v>
      </c>
      <c r="AP121" s="47">
        <f t="shared" si="38"/>
        <v>1.2459</v>
      </c>
      <c r="AQ121" s="47">
        <f t="shared" si="58"/>
        <v>12459</v>
      </c>
      <c r="AR121" s="47"/>
      <c r="AS121" s="47">
        <f t="shared" si="59"/>
        <v>1.8693</v>
      </c>
      <c r="AT121" s="47">
        <f t="shared" si="68"/>
        <v>1.4951000000000001</v>
      </c>
      <c r="AU121" s="47">
        <f t="shared" si="60"/>
        <v>14951.000000000002</v>
      </c>
      <c r="AV121" s="47">
        <f t="shared" si="69"/>
        <v>0.37419999999999998</v>
      </c>
      <c r="AW121" s="47">
        <f t="shared" si="61"/>
        <v>3741.9999999999995</v>
      </c>
      <c r="AX121" s="47">
        <f t="shared" si="72"/>
        <v>38.540500000000002</v>
      </c>
      <c r="AY121" s="47"/>
      <c r="AZ121" s="47"/>
      <c r="BA121" s="54">
        <v>1E-4</v>
      </c>
      <c r="BB121" s="55" t="s">
        <v>248</v>
      </c>
      <c r="BC121" s="51">
        <f t="shared" si="62"/>
        <v>171.44400000000002</v>
      </c>
      <c r="BD121" s="47">
        <f t="shared" si="65"/>
        <v>41.04</v>
      </c>
      <c r="BE121" s="47">
        <f t="shared" si="63"/>
        <v>20.904</v>
      </c>
      <c r="BF121" s="47">
        <f>16870+550</f>
        <v>17420</v>
      </c>
      <c r="BG121" s="56">
        <v>108</v>
      </c>
      <c r="BH121" s="47">
        <v>1.5</v>
      </c>
      <c r="BI121" s="51">
        <f t="shared" si="42"/>
        <v>11.01</v>
      </c>
      <c r="BJ121" s="51">
        <f t="shared" si="43"/>
        <v>4.3860000000000001</v>
      </c>
      <c r="BK121" s="47"/>
      <c r="BL121" s="47">
        <v>4.3860000000000001</v>
      </c>
      <c r="BM121" s="47"/>
      <c r="BN121" s="47"/>
      <c r="BO121" s="47"/>
      <c r="BP121" s="68">
        <v>6.6239999999999997</v>
      </c>
      <c r="BQ121" s="68"/>
      <c r="BR121" s="47"/>
      <c r="BS121" s="53"/>
      <c r="BT121" s="47"/>
      <c r="BU121" s="47"/>
      <c r="BV121" s="47"/>
      <c r="BW121" s="68"/>
      <c r="BX121" s="47">
        <v>267</v>
      </c>
      <c r="BY121" s="47"/>
      <c r="BZ121" s="47">
        <v>2294.25</v>
      </c>
      <c r="CA121" s="47"/>
      <c r="CB121" s="54">
        <f t="shared" si="44"/>
        <v>3178.2800999999999</v>
      </c>
      <c r="CC121" s="47"/>
      <c r="CD121" s="57"/>
      <c r="CE121" s="47"/>
      <c r="CF121" s="47">
        <f t="shared" si="45"/>
        <v>3178.2800999999999</v>
      </c>
    </row>
    <row r="122" spans="1:84" ht="14.25" customHeight="1">
      <c r="A122" s="47">
        <v>115</v>
      </c>
      <c r="B122" s="47" t="s">
        <v>129</v>
      </c>
      <c r="C122" s="48">
        <v>604001</v>
      </c>
      <c r="D122" s="49" t="s">
        <v>249</v>
      </c>
      <c r="E122" s="49" t="s">
        <v>150</v>
      </c>
      <c r="F122" s="50">
        <f t="shared" si="46"/>
        <v>8</v>
      </c>
      <c r="G122" s="50"/>
      <c r="H122" s="50"/>
      <c r="I122" s="50">
        <v>8</v>
      </c>
      <c r="J122" s="50"/>
      <c r="K122" s="50"/>
      <c r="L122" s="50">
        <v>40</v>
      </c>
      <c r="M122" s="50"/>
      <c r="N122" s="50">
        <v>4</v>
      </c>
      <c r="O122" s="50">
        <f t="shared" si="47"/>
        <v>52</v>
      </c>
      <c r="P122" s="51">
        <f t="shared" si="34"/>
        <v>924.19281999999998</v>
      </c>
      <c r="Q122" s="51">
        <f t="shared" si="35"/>
        <v>575.51282000000003</v>
      </c>
      <c r="R122" s="47">
        <f t="shared" si="48"/>
        <v>33264</v>
      </c>
      <c r="S122" s="58"/>
      <c r="T122" s="51">
        <v>33264</v>
      </c>
      <c r="U122" s="47">
        <f>ROUND((1439532*0.85/10000+R122*12/10000),5)</f>
        <v>162.27701999999999</v>
      </c>
      <c r="V122" s="51">
        <f t="shared" si="2"/>
        <v>0</v>
      </c>
      <c r="W122" s="47">
        <f t="shared" si="50"/>
        <v>0</v>
      </c>
      <c r="X122" s="47"/>
      <c r="Y122" s="47"/>
      <c r="Z122" s="47"/>
      <c r="AA122" s="47"/>
      <c r="AB122" s="51">
        <f t="shared" si="64"/>
        <v>11.52</v>
      </c>
      <c r="AC122" s="47">
        <f t="shared" si="52"/>
        <v>0</v>
      </c>
      <c r="AD122" s="47"/>
      <c r="AE122" s="47"/>
      <c r="AF122" s="47">
        <f t="shared" si="53"/>
        <v>11.52</v>
      </c>
      <c r="AG122" s="47">
        <v>9600</v>
      </c>
      <c r="AH122" s="47"/>
      <c r="AI122" s="47">
        <f>ROUND((2.59*(I122+J122+K122)+(40*2.59)*0.4),4)</f>
        <v>62.16</v>
      </c>
      <c r="AJ122" s="53">
        <f>ROUND(((T122+119961)*12/10000+48*2.59+AF122)*0.16,4)</f>
        <v>51.153599999999997</v>
      </c>
      <c r="AK122" s="53">
        <f t="shared" si="56"/>
        <v>511536</v>
      </c>
      <c r="AL122" s="47">
        <f>ROUND((119961*12+40*25900)*0.08/10000,4)</f>
        <v>19.804300000000001</v>
      </c>
      <c r="AM122" s="47">
        <f>ROUND((((T122+119961)*12/10000+48*2.59)*0.085+N122*0.0075),4)</f>
        <v>26.226199999999999</v>
      </c>
      <c r="AN122" s="47">
        <f>ROUND((((T122+119961)*12/10000+48*2.59)*0.08+N122*0.0075),4)</f>
        <v>24.685199999999998</v>
      </c>
      <c r="AO122" s="47">
        <f t="shared" si="57"/>
        <v>246851.99999999997</v>
      </c>
      <c r="AP122" s="47">
        <f>ROUND((((T122+119961)*12/10000+48*2.59)*0.005),4)</f>
        <v>1.5409999999999999</v>
      </c>
      <c r="AQ122" s="47">
        <f t="shared" si="58"/>
        <v>15410</v>
      </c>
      <c r="AR122" s="47"/>
      <c r="AS122" s="47">
        <f>ROUND(((((T122+119961)*12/10000+48*2.59)*0.007+((T122+119961)*12/10000+48*2.59)*0.006)),4)</f>
        <v>4.0065</v>
      </c>
      <c r="AT122" s="47">
        <f>ROUND(((((T122+119961)*12/10000+48*2.59)*0.006)),4)</f>
        <v>1.8491</v>
      </c>
      <c r="AU122" s="47">
        <f t="shared" si="60"/>
        <v>18491</v>
      </c>
      <c r="AV122" s="47">
        <f>ROUND(((((T122+119961)*12/10000+48*2.59)*0.007)),4)</f>
        <v>2.1573000000000002</v>
      </c>
      <c r="AW122" s="47">
        <f t="shared" si="61"/>
        <v>21573.000000000004</v>
      </c>
      <c r="AX122" s="47">
        <f>ROUND(((T122+119961)*12/10000+48*2.59+AF122)*0.12,4)</f>
        <v>38.365200000000002</v>
      </c>
      <c r="AY122" s="47"/>
      <c r="AZ122" s="47">
        <v>200</v>
      </c>
      <c r="BA122" s="54">
        <v>1E-4</v>
      </c>
      <c r="BB122" s="55" t="s">
        <v>249</v>
      </c>
      <c r="BC122" s="51">
        <f t="shared" si="62"/>
        <v>348.68</v>
      </c>
      <c r="BD122" s="47">
        <f t="shared" si="65"/>
        <v>7.68</v>
      </c>
      <c r="BE122" s="47">
        <f t="shared" si="63"/>
        <v>0</v>
      </c>
      <c r="BF122" s="47"/>
      <c r="BG122" s="56">
        <v>69</v>
      </c>
      <c r="BH122" s="47">
        <v>272</v>
      </c>
      <c r="BI122" s="51">
        <f t="shared" si="42"/>
        <v>0</v>
      </c>
      <c r="BJ122" s="51">
        <f t="shared" si="43"/>
        <v>0</v>
      </c>
      <c r="BK122" s="47"/>
      <c r="BL122" s="47"/>
      <c r="BM122" s="47"/>
      <c r="BN122" s="47"/>
      <c r="BO122" s="47"/>
      <c r="BP122" s="68"/>
      <c r="BQ122" s="47"/>
      <c r="BR122" s="47"/>
      <c r="BS122" s="53"/>
      <c r="BT122" s="47"/>
      <c r="BU122" s="47"/>
      <c r="BV122" s="47"/>
      <c r="BW122" s="47"/>
      <c r="BX122" s="47">
        <v>55</v>
      </c>
      <c r="BY122" s="47"/>
      <c r="BZ122" s="47"/>
      <c r="CA122" s="47"/>
      <c r="CB122" s="54">
        <f t="shared" si="44"/>
        <v>979.19281999999998</v>
      </c>
      <c r="CC122" s="47"/>
      <c r="CD122" s="57"/>
      <c r="CE122" s="47"/>
      <c r="CF122" s="47">
        <f t="shared" si="45"/>
        <v>979.19281999999998</v>
      </c>
    </row>
    <row r="123" spans="1:84" ht="14.25" customHeight="1">
      <c r="A123" s="47">
        <v>116</v>
      </c>
      <c r="B123" s="47" t="s">
        <v>129</v>
      </c>
      <c r="C123" s="48">
        <v>202001</v>
      </c>
      <c r="D123" s="49" t="s">
        <v>250</v>
      </c>
      <c r="E123" s="49" t="s">
        <v>131</v>
      </c>
      <c r="F123" s="50">
        <f t="shared" si="46"/>
        <v>55</v>
      </c>
      <c r="G123" s="50">
        <v>18</v>
      </c>
      <c r="H123" s="50"/>
      <c r="I123" s="50">
        <v>37</v>
      </c>
      <c r="J123" s="50"/>
      <c r="K123" s="50"/>
      <c r="L123" s="50"/>
      <c r="M123" s="50"/>
      <c r="N123" s="50">
        <v>77</v>
      </c>
      <c r="O123" s="50">
        <f t="shared" si="47"/>
        <v>132</v>
      </c>
      <c r="P123" s="51">
        <f t="shared" si="34"/>
        <v>1190.5786000000001</v>
      </c>
      <c r="Q123" s="51">
        <f t="shared" si="35"/>
        <v>764.2106</v>
      </c>
      <c r="R123" s="47">
        <f t="shared" si="48"/>
        <v>276719</v>
      </c>
      <c r="S123" s="58">
        <v>71026</v>
      </c>
      <c r="T123" s="58">
        <v>205693</v>
      </c>
      <c r="U123" s="47">
        <f>ROUND(R123*12/10000,5)</f>
        <v>332.06279999999998</v>
      </c>
      <c r="V123" s="51">
        <f t="shared" si="2"/>
        <v>40.86</v>
      </c>
      <c r="W123" s="47">
        <f t="shared" si="50"/>
        <v>40.5</v>
      </c>
      <c r="X123" s="47"/>
      <c r="Y123" s="47"/>
      <c r="Z123" s="47"/>
      <c r="AA123" s="47">
        <v>0.36</v>
      </c>
      <c r="AB123" s="51">
        <f t="shared" si="64"/>
        <v>92.740600000000001</v>
      </c>
      <c r="AC123" s="47">
        <f t="shared" si="52"/>
        <v>7.1025999999999998</v>
      </c>
      <c r="AD123" s="47"/>
      <c r="AE123" s="47"/>
      <c r="AF123" s="47">
        <f t="shared" si="53"/>
        <v>85.638000000000005</v>
      </c>
      <c r="AG123" s="47">
        <v>71365</v>
      </c>
      <c r="AH123" s="47"/>
      <c r="AI123" s="47">
        <f t="shared" si="54"/>
        <v>95.83</v>
      </c>
      <c r="AJ123" s="53">
        <f>ROUND((U123+W123+AC123+AE123+AF123+AI123)*0.16,4)</f>
        <v>89.781300000000002</v>
      </c>
      <c r="AK123" s="53">
        <f t="shared" si="56"/>
        <v>897813</v>
      </c>
      <c r="AL123" s="47"/>
      <c r="AM123" s="47">
        <f t="shared" si="66"/>
        <v>40.390900000000002</v>
      </c>
      <c r="AN123" s="47">
        <f t="shared" si="67"/>
        <v>38.048900000000003</v>
      </c>
      <c r="AO123" s="47">
        <f t="shared" si="57"/>
        <v>380489.00000000006</v>
      </c>
      <c r="AP123" s="47">
        <f t="shared" si="38"/>
        <v>2.3420000000000001</v>
      </c>
      <c r="AQ123" s="47">
        <f t="shared" si="58"/>
        <v>23420</v>
      </c>
      <c r="AR123" s="47"/>
      <c r="AS123" s="47">
        <f t="shared" si="59"/>
        <v>5.2089999999999996</v>
      </c>
      <c r="AT123" s="47">
        <f t="shared" si="68"/>
        <v>2.8104</v>
      </c>
      <c r="AU123" s="47">
        <f t="shared" si="60"/>
        <v>28104</v>
      </c>
      <c r="AV123" s="47">
        <f t="shared" si="69"/>
        <v>2.3986000000000001</v>
      </c>
      <c r="AW123" s="47">
        <f t="shared" si="61"/>
        <v>23986</v>
      </c>
      <c r="AX123" s="47">
        <f t="shared" si="72"/>
        <v>67.335999999999999</v>
      </c>
      <c r="AY123" s="47"/>
      <c r="AZ123" s="47"/>
      <c r="BA123" s="54">
        <v>1E-4</v>
      </c>
      <c r="BB123" s="55" t="s">
        <v>250</v>
      </c>
      <c r="BC123" s="51">
        <f t="shared" si="62"/>
        <v>405.37599999999998</v>
      </c>
      <c r="BD123" s="47">
        <f t="shared" si="65"/>
        <v>57.11999999999999</v>
      </c>
      <c r="BE123" s="47">
        <f t="shared" si="63"/>
        <v>14.256</v>
      </c>
      <c r="BF123" s="47">
        <v>11880</v>
      </c>
      <c r="BG123" s="56">
        <v>334</v>
      </c>
      <c r="BH123" s="47"/>
      <c r="BI123" s="51">
        <f t="shared" si="42"/>
        <v>20.992000000000001</v>
      </c>
      <c r="BJ123" s="51">
        <f t="shared" si="43"/>
        <v>0</v>
      </c>
      <c r="BK123" s="47"/>
      <c r="BL123" s="47"/>
      <c r="BM123" s="47"/>
      <c r="BN123" s="47"/>
      <c r="BO123" s="47"/>
      <c r="BP123" s="68">
        <v>7.992</v>
      </c>
      <c r="BQ123" s="47"/>
      <c r="BR123" s="47"/>
      <c r="BS123" s="53"/>
      <c r="BT123" s="47"/>
      <c r="BU123" s="47"/>
      <c r="BV123" s="47"/>
      <c r="BW123" s="47">
        <v>13</v>
      </c>
      <c r="BX123" s="47">
        <v>40</v>
      </c>
      <c r="BY123" s="47"/>
      <c r="BZ123" s="47"/>
      <c r="CA123" s="47"/>
      <c r="CB123" s="54">
        <f t="shared" si="44"/>
        <v>1230.5786000000001</v>
      </c>
      <c r="CC123" s="47"/>
      <c r="CD123" s="57">
        <v>99</v>
      </c>
      <c r="CE123" s="47"/>
      <c r="CF123" s="47">
        <f t="shared" si="45"/>
        <v>1329.5786000000001</v>
      </c>
    </row>
    <row r="124" spans="1:84" ht="14.25" customHeight="1">
      <c r="A124" s="47">
        <v>117</v>
      </c>
      <c r="B124" s="47" t="s">
        <v>129</v>
      </c>
      <c r="C124" s="48">
        <v>202002</v>
      </c>
      <c r="D124" s="60" t="s">
        <v>251</v>
      </c>
      <c r="E124" s="60" t="s">
        <v>150</v>
      </c>
      <c r="F124" s="50">
        <f t="shared" si="46"/>
        <v>275</v>
      </c>
      <c r="G124" s="50"/>
      <c r="H124" s="50"/>
      <c r="I124" s="50">
        <f>263+5</f>
        <v>268</v>
      </c>
      <c r="J124" s="50">
        <v>7</v>
      </c>
      <c r="K124" s="50"/>
      <c r="L124" s="50"/>
      <c r="M124" s="50"/>
      <c r="N124" s="50">
        <v>91</v>
      </c>
      <c r="O124" s="50">
        <f t="shared" si="47"/>
        <v>366</v>
      </c>
      <c r="P124" s="51">
        <f t="shared" si="34"/>
        <v>3750.6922</v>
      </c>
      <c r="Q124" s="51">
        <f t="shared" si="35"/>
        <v>3222.5066000000002</v>
      </c>
      <c r="R124" s="47">
        <f t="shared" si="48"/>
        <v>1316707</v>
      </c>
      <c r="S124" s="61"/>
      <c r="T124" s="61">
        <f>1306255+10452</f>
        <v>1316707</v>
      </c>
      <c r="U124" s="47">
        <f>ROUND(R124*12/10000,5)</f>
        <v>1580.0483999999999</v>
      </c>
      <c r="V124" s="51">
        <f t="shared" si="2"/>
        <v>0.72</v>
      </c>
      <c r="W124" s="47">
        <f t="shared" si="50"/>
        <v>0</v>
      </c>
      <c r="X124" s="47"/>
      <c r="Y124" s="47"/>
      <c r="Z124" s="47"/>
      <c r="AA124" s="47">
        <v>0.72</v>
      </c>
      <c r="AB124" s="51">
        <f t="shared" si="64"/>
        <v>0</v>
      </c>
      <c r="AC124" s="47">
        <f t="shared" si="52"/>
        <v>0</v>
      </c>
      <c r="AD124" s="47"/>
      <c r="AE124" s="47"/>
      <c r="AF124" s="47"/>
      <c r="AG124" s="47">
        <f>F124*600</f>
        <v>165000</v>
      </c>
      <c r="AH124" s="47"/>
      <c r="AI124" s="47">
        <f t="shared" si="54"/>
        <v>712.25</v>
      </c>
      <c r="AJ124" s="53">
        <f>ROUND((U124+W124+AC124+AE124+AG124*12/10000+AI124)*0.16,4)</f>
        <v>398.4477</v>
      </c>
      <c r="AK124" s="53">
        <f t="shared" si="56"/>
        <v>3984477</v>
      </c>
      <c r="AL124" s="47"/>
      <c r="AM124" s="47">
        <f t="shared" si="66"/>
        <v>195.52789999999999</v>
      </c>
      <c r="AN124" s="47">
        <f t="shared" si="67"/>
        <v>184.06639999999999</v>
      </c>
      <c r="AO124" s="47">
        <f t="shared" si="57"/>
        <v>1840663.9999999998</v>
      </c>
      <c r="AP124" s="47">
        <f t="shared" si="38"/>
        <v>11.461499999999999</v>
      </c>
      <c r="AQ124" s="47">
        <f t="shared" si="58"/>
        <v>114614.99999999999</v>
      </c>
      <c r="AR124" s="47"/>
      <c r="AS124" s="47">
        <f t="shared" ref="AS124:AS149" si="73">ROUND(((T124*12/10000+AI124)*0.007+(U124+W124+AI124)*0.009),4)</f>
        <v>36.6768</v>
      </c>
      <c r="AT124" s="47">
        <f t="shared" ref="AT124:AT149" si="74">ROUND(((U124+W124+AI124)*0.009),4)</f>
        <v>20.630700000000001</v>
      </c>
      <c r="AU124" s="47">
        <f t="shared" si="60"/>
        <v>206307</v>
      </c>
      <c r="AV124" s="47">
        <f t="shared" si="69"/>
        <v>16.046099999999999</v>
      </c>
      <c r="AW124" s="47">
        <f t="shared" si="61"/>
        <v>160461</v>
      </c>
      <c r="AX124" s="47">
        <f>ROUND((U124+W124+AC124+AE124+AG124*12/10000+AI124)*0.12,4)</f>
        <v>298.83580000000001</v>
      </c>
      <c r="AY124" s="47"/>
      <c r="AZ124" s="47"/>
      <c r="BA124" s="54">
        <v>1E-4</v>
      </c>
      <c r="BB124" s="65" t="s">
        <v>251</v>
      </c>
      <c r="BC124" s="51">
        <f t="shared" si="62"/>
        <v>439.29999999999995</v>
      </c>
      <c r="BD124" s="47"/>
      <c r="BE124" s="47">
        <f t="shared" si="63"/>
        <v>0</v>
      </c>
      <c r="BF124" s="47"/>
      <c r="BG124" s="72">
        <v>408.9</v>
      </c>
      <c r="BH124" s="47">
        <v>30.4</v>
      </c>
      <c r="BI124" s="51">
        <f t="shared" si="42"/>
        <v>88.885599999999997</v>
      </c>
      <c r="BJ124" s="51">
        <f t="shared" si="43"/>
        <v>0</v>
      </c>
      <c r="BK124" s="47"/>
      <c r="BL124" s="47"/>
      <c r="BM124" s="47"/>
      <c r="BN124" s="47"/>
      <c r="BO124" s="47"/>
      <c r="BP124" s="68">
        <v>5.0856000000000003</v>
      </c>
      <c r="BQ124" s="47"/>
      <c r="BR124" s="47"/>
      <c r="BS124" s="73">
        <v>83.8</v>
      </c>
      <c r="BT124" s="47"/>
      <c r="BU124" s="47"/>
      <c r="BV124" s="47"/>
      <c r="BW124" s="68"/>
      <c r="BX124" s="47">
        <v>120</v>
      </c>
      <c r="BY124" s="47"/>
      <c r="BZ124" s="47"/>
      <c r="CA124" s="47"/>
      <c r="CB124" s="54">
        <f t="shared" si="44"/>
        <v>3870.6922</v>
      </c>
      <c r="CC124" s="47"/>
      <c r="CD124" s="57">
        <v>767</v>
      </c>
      <c r="CE124" s="47"/>
      <c r="CF124" s="47">
        <f t="shared" si="45"/>
        <v>4637.6921999999995</v>
      </c>
    </row>
    <row r="125" spans="1:84" ht="14.25" customHeight="1">
      <c r="A125" s="47">
        <v>118</v>
      </c>
      <c r="B125" s="47" t="s">
        <v>129</v>
      </c>
      <c r="C125" s="48">
        <v>202003</v>
      </c>
      <c r="D125" s="60" t="s">
        <v>252</v>
      </c>
      <c r="E125" s="60" t="s">
        <v>150</v>
      </c>
      <c r="F125" s="50">
        <f t="shared" si="46"/>
        <v>88</v>
      </c>
      <c r="G125" s="50"/>
      <c r="H125" s="50"/>
      <c r="I125" s="50">
        <f>73+7</f>
        <v>80</v>
      </c>
      <c r="J125" s="50">
        <v>8</v>
      </c>
      <c r="K125" s="50"/>
      <c r="L125" s="50"/>
      <c r="M125" s="50"/>
      <c r="N125" s="50">
        <v>34</v>
      </c>
      <c r="O125" s="50">
        <f t="shared" si="47"/>
        <v>122</v>
      </c>
      <c r="P125" s="51">
        <f t="shared" si="34"/>
        <v>1319.1952999999999</v>
      </c>
      <c r="Q125" s="51">
        <f t="shared" si="35"/>
        <v>1058.3253</v>
      </c>
      <c r="R125" s="47">
        <f t="shared" si="48"/>
        <v>361972</v>
      </c>
      <c r="S125" s="61"/>
      <c r="T125" s="61">
        <f>348392+13580</f>
        <v>361972</v>
      </c>
      <c r="U125" s="47">
        <f t="shared" si="49"/>
        <v>434.3664</v>
      </c>
      <c r="V125" s="51">
        <f t="shared" si="2"/>
        <v>125.71199999999999</v>
      </c>
      <c r="W125" s="47">
        <f t="shared" si="50"/>
        <v>0</v>
      </c>
      <c r="X125" s="67">
        <v>77.111999999999995</v>
      </c>
      <c r="Y125" s="67">
        <v>48.6</v>
      </c>
      <c r="Z125" s="47"/>
      <c r="AA125" s="47"/>
      <c r="AB125" s="51">
        <f t="shared" si="64"/>
        <v>0</v>
      </c>
      <c r="AC125" s="47">
        <f t="shared" si="52"/>
        <v>0</v>
      </c>
      <c r="AD125" s="47"/>
      <c r="AE125" s="47"/>
      <c r="AF125" s="47"/>
      <c r="AG125" s="47">
        <f t="shared" ref="AG125:AG132" si="75">F125*600</f>
        <v>52800</v>
      </c>
      <c r="AH125" s="47"/>
      <c r="AI125" s="47">
        <f t="shared" si="54"/>
        <v>227.92</v>
      </c>
      <c r="AJ125" s="53">
        <f t="shared" ref="AJ125:AJ132" si="76">ROUND((U125+W125+AC125+AE125+AG125*12/10000+AI125)*0.16,4)</f>
        <v>116.10339999999999</v>
      </c>
      <c r="AK125" s="53">
        <f t="shared" si="56"/>
        <v>1161034</v>
      </c>
      <c r="AL125" s="47"/>
      <c r="AM125" s="47">
        <f t="shared" si="66"/>
        <v>56.549300000000002</v>
      </c>
      <c r="AN125" s="47">
        <f t="shared" si="67"/>
        <v>53.237900000000003</v>
      </c>
      <c r="AO125" s="47">
        <f t="shared" si="57"/>
        <v>532379</v>
      </c>
      <c r="AP125" s="47">
        <f t="shared" si="38"/>
        <v>3.3113999999999999</v>
      </c>
      <c r="AQ125" s="47">
        <f t="shared" si="58"/>
        <v>33114</v>
      </c>
      <c r="AR125" s="47"/>
      <c r="AS125" s="47">
        <f t="shared" si="73"/>
        <v>10.5966</v>
      </c>
      <c r="AT125" s="47">
        <f t="shared" si="74"/>
        <v>5.9606000000000003</v>
      </c>
      <c r="AU125" s="47">
        <f t="shared" si="60"/>
        <v>59606</v>
      </c>
      <c r="AV125" s="47">
        <f t="shared" si="69"/>
        <v>4.6360000000000001</v>
      </c>
      <c r="AW125" s="47">
        <f t="shared" si="61"/>
        <v>46360</v>
      </c>
      <c r="AX125" s="47">
        <f t="shared" ref="AX125:AX132" si="77">ROUND((U125+W125+AC125+AE125+AG125*12/10000+AI125)*0.12,4)</f>
        <v>87.077600000000004</v>
      </c>
      <c r="AY125" s="47"/>
      <c r="AZ125" s="47"/>
      <c r="BA125" s="54">
        <v>1E-4</v>
      </c>
      <c r="BB125" s="65" t="s">
        <v>252</v>
      </c>
      <c r="BC125" s="51">
        <f t="shared" si="62"/>
        <v>193.76</v>
      </c>
      <c r="BD125" s="47"/>
      <c r="BE125" s="47">
        <f t="shared" si="63"/>
        <v>0</v>
      </c>
      <c r="BF125" s="47"/>
      <c r="BG125" s="72">
        <v>161.76</v>
      </c>
      <c r="BH125" s="47">
        <v>32</v>
      </c>
      <c r="BI125" s="51">
        <f t="shared" si="42"/>
        <v>67.11</v>
      </c>
      <c r="BJ125" s="51">
        <f t="shared" si="43"/>
        <v>0</v>
      </c>
      <c r="BK125" s="47"/>
      <c r="BL125" s="47"/>
      <c r="BM125" s="47"/>
      <c r="BN125" s="47"/>
      <c r="BO125" s="47"/>
      <c r="BP125" s="68">
        <v>17.91</v>
      </c>
      <c r="BQ125" s="47"/>
      <c r="BR125" s="47"/>
      <c r="BS125" s="73">
        <v>49.2</v>
      </c>
      <c r="BT125" s="47"/>
      <c r="BU125" s="47"/>
      <c r="BV125" s="47"/>
      <c r="BW125" s="68"/>
      <c r="BX125" s="47">
        <v>10</v>
      </c>
      <c r="BY125" s="47"/>
      <c r="BZ125" s="47"/>
      <c r="CA125" s="47"/>
      <c r="CB125" s="54">
        <f t="shared" si="44"/>
        <v>1329.1952999999999</v>
      </c>
      <c r="CC125" s="47"/>
      <c r="CD125" s="57">
        <v>256</v>
      </c>
      <c r="CE125" s="47"/>
      <c r="CF125" s="47">
        <f t="shared" si="45"/>
        <v>1585.1952999999999</v>
      </c>
    </row>
    <row r="126" spans="1:84" ht="14.25" customHeight="1">
      <c r="A126" s="47">
        <v>119</v>
      </c>
      <c r="B126" s="47" t="s">
        <v>129</v>
      </c>
      <c r="C126" s="48">
        <v>202004</v>
      </c>
      <c r="D126" s="60" t="s">
        <v>253</v>
      </c>
      <c r="E126" s="60" t="s">
        <v>150</v>
      </c>
      <c r="F126" s="50">
        <f t="shared" si="46"/>
        <v>128</v>
      </c>
      <c r="G126" s="50"/>
      <c r="H126" s="50"/>
      <c r="I126" s="50">
        <f>117+5</f>
        <v>122</v>
      </c>
      <c r="J126" s="50">
        <v>6</v>
      </c>
      <c r="K126" s="50"/>
      <c r="L126" s="50"/>
      <c r="M126" s="50"/>
      <c r="N126" s="50">
        <v>21</v>
      </c>
      <c r="O126" s="50">
        <f t="shared" si="47"/>
        <v>149</v>
      </c>
      <c r="P126" s="51">
        <f t="shared" si="34"/>
        <v>1804.1287999999997</v>
      </c>
      <c r="Q126" s="51">
        <f t="shared" si="35"/>
        <v>1522.5167999999999</v>
      </c>
      <c r="R126" s="47">
        <f t="shared" si="48"/>
        <v>533298</v>
      </c>
      <c r="S126" s="61"/>
      <c r="T126" s="61">
        <f>523598+9700</f>
        <v>533298</v>
      </c>
      <c r="U126" s="47">
        <f t="shared" si="49"/>
        <v>639.95759999999996</v>
      </c>
      <c r="V126" s="51">
        <f t="shared" si="2"/>
        <v>154.94400000000002</v>
      </c>
      <c r="W126" s="47">
        <f t="shared" si="50"/>
        <v>0</v>
      </c>
      <c r="X126" s="67">
        <v>111.024</v>
      </c>
      <c r="Y126" s="67">
        <v>43.92</v>
      </c>
      <c r="Z126" s="47"/>
      <c r="AA126" s="47"/>
      <c r="AB126" s="51">
        <f t="shared" si="64"/>
        <v>0</v>
      </c>
      <c r="AC126" s="47">
        <f t="shared" si="52"/>
        <v>0</v>
      </c>
      <c r="AD126" s="47"/>
      <c r="AE126" s="47"/>
      <c r="AF126" s="47"/>
      <c r="AG126" s="47">
        <f t="shared" si="75"/>
        <v>76800</v>
      </c>
      <c r="AH126" s="47"/>
      <c r="AI126" s="47">
        <f t="shared" si="54"/>
        <v>331.52</v>
      </c>
      <c r="AJ126" s="53">
        <f t="shared" si="76"/>
        <v>170.18199999999999</v>
      </c>
      <c r="AK126" s="53">
        <f t="shared" si="56"/>
        <v>1701819.9999999998</v>
      </c>
      <c r="AL126" s="47"/>
      <c r="AM126" s="47">
        <f t="shared" si="66"/>
        <v>82.733099999999993</v>
      </c>
      <c r="AN126" s="47">
        <f t="shared" si="67"/>
        <v>77.875699999999995</v>
      </c>
      <c r="AO126" s="47">
        <f t="shared" si="57"/>
        <v>778757</v>
      </c>
      <c r="AP126" s="47">
        <f t="shared" si="38"/>
        <v>4.8574000000000002</v>
      </c>
      <c r="AQ126" s="47">
        <f t="shared" si="58"/>
        <v>48574</v>
      </c>
      <c r="AR126" s="47"/>
      <c r="AS126" s="47">
        <f t="shared" si="73"/>
        <v>15.5436</v>
      </c>
      <c r="AT126" s="47">
        <f t="shared" si="74"/>
        <v>8.7432999999999996</v>
      </c>
      <c r="AU126" s="47">
        <f t="shared" si="60"/>
        <v>87433</v>
      </c>
      <c r="AV126" s="47">
        <f t="shared" si="69"/>
        <v>6.8003</v>
      </c>
      <c r="AW126" s="47">
        <f t="shared" si="61"/>
        <v>68003</v>
      </c>
      <c r="AX126" s="47">
        <f t="shared" si="77"/>
        <v>127.6365</v>
      </c>
      <c r="AY126" s="47"/>
      <c r="AZ126" s="47"/>
      <c r="BA126" s="54">
        <v>1E-4</v>
      </c>
      <c r="BB126" s="65" t="s">
        <v>253</v>
      </c>
      <c r="BC126" s="51">
        <f t="shared" si="62"/>
        <v>215.3</v>
      </c>
      <c r="BD126" s="47"/>
      <c r="BE126" s="47">
        <f t="shared" si="63"/>
        <v>0</v>
      </c>
      <c r="BF126" s="47"/>
      <c r="BG126" s="72">
        <v>202.5</v>
      </c>
      <c r="BH126" s="47">
        <v>12.8</v>
      </c>
      <c r="BI126" s="51">
        <f t="shared" si="42"/>
        <v>66.311999999999998</v>
      </c>
      <c r="BJ126" s="51">
        <f t="shared" si="43"/>
        <v>0</v>
      </c>
      <c r="BK126" s="47"/>
      <c r="BL126" s="47"/>
      <c r="BM126" s="47"/>
      <c r="BN126" s="47"/>
      <c r="BO126" s="47"/>
      <c r="BP126" s="68">
        <v>3.3119999999999998</v>
      </c>
      <c r="BQ126" s="47"/>
      <c r="BR126" s="47"/>
      <c r="BS126" s="73">
        <v>63</v>
      </c>
      <c r="BT126" s="47"/>
      <c r="BU126" s="47"/>
      <c r="BV126" s="47"/>
      <c r="BW126" s="68"/>
      <c r="BX126" s="47"/>
      <c r="BY126" s="47"/>
      <c r="BZ126" s="47"/>
      <c r="CA126" s="47"/>
      <c r="CB126" s="54">
        <f t="shared" si="44"/>
        <v>1804.1287999999997</v>
      </c>
      <c r="CC126" s="47"/>
      <c r="CD126" s="57">
        <v>268</v>
      </c>
      <c r="CE126" s="47"/>
      <c r="CF126" s="47">
        <f t="shared" si="45"/>
        <v>2072.1287999999995</v>
      </c>
    </row>
    <row r="127" spans="1:84" ht="14.25" customHeight="1">
      <c r="A127" s="47">
        <v>120</v>
      </c>
      <c r="B127" s="47" t="s">
        <v>129</v>
      </c>
      <c r="C127" s="48">
        <v>202005</v>
      </c>
      <c r="D127" s="60" t="s">
        <v>254</v>
      </c>
      <c r="E127" s="60" t="s">
        <v>150</v>
      </c>
      <c r="F127" s="50">
        <f t="shared" si="46"/>
        <v>94</v>
      </c>
      <c r="G127" s="50"/>
      <c r="H127" s="50"/>
      <c r="I127" s="50">
        <f>85-1+5</f>
        <v>89</v>
      </c>
      <c r="J127" s="50">
        <v>5</v>
      </c>
      <c r="K127" s="50"/>
      <c r="L127" s="50"/>
      <c r="M127" s="50"/>
      <c r="N127" s="50">
        <v>19</v>
      </c>
      <c r="O127" s="50">
        <f t="shared" si="47"/>
        <v>113</v>
      </c>
      <c r="P127" s="51">
        <f t="shared" si="34"/>
        <v>1315.2506000000001</v>
      </c>
      <c r="Q127" s="51">
        <f t="shared" si="35"/>
        <v>1070.8546000000001</v>
      </c>
      <c r="R127" s="47">
        <f t="shared" si="48"/>
        <v>367318</v>
      </c>
      <c r="S127" s="61"/>
      <c r="T127" s="61">
        <f>357198+10120</f>
        <v>367318</v>
      </c>
      <c r="U127" s="47">
        <f t="shared" si="49"/>
        <v>440.78160000000003</v>
      </c>
      <c r="V127" s="51">
        <f t="shared" si="2"/>
        <v>106.82400000000001</v>
      </c>
      <c r="W127" s="47">
        <f t="shared" si="50"/>
        <v>0</v>
      </c>
      <c r="X127" s="67">
        <v>76.224000000000004</v>
      </c>
      <c r="Y127" s="67">
        <v>30.6</v>
      </c>
      <c r="Z127" s="47"/>
      <c r="AA127" s="47"/>
      <c r="AB127" s="51">
        <f t="shared" si="64"/>
        <v>0</v>
      </c>
      <c r="AC127" s="47">
        <f t="shared" si="52"/>
        <v>0</v>
      </c>
      <c r="AD127" s="47"/>
      <c r="AE127" s="47"/>
      <c r="AF127" s="47"/>
      <c r="AG127" s="47">
        <f t="shared" si="75"/>
        <v>56400</v>
      </c>
      <c r="AH127" s="47"/>
      <c r="AI127" s="47">
        <f t="shared" si="54"/>
        <v>243.46</v>
      </c>
      <c r="AJ127" s="53">
        <f t="shared" si="76"/>
        <v>120.3075</v>
      </c>
      <c r="AK127" s="53">
        <f t="shared" si="56"/>
        <v>1203075</v>
      </c>
      <c r="AL127" s="47"/>
      <c r="AM127" s="47">
        <f t="shared" si="66"/>
        <v>58.302999999999997</v>
      </c>
      <c r="AN127" s="47">
        <f t="shared" si="67"/>
        <v>54.881799999999998</v>
      </c>
      <c r="AO127" s="47">
        <f t="shared" si="57"/>
        <v>548818</v>
      </c>
      <c r="AP127" s="47">
        <f t="shared" si="38"/>
        <v>3.4211999999999998</v>
      </c>
      <c r="AQ127" s="47">
        <f t="shared" si="58"/>
        <v>34212</v>
      </c>
      <c r="AR127" s="47"/>
      <c r="AS127" s="47">
        <f t="shared" si="73"/>
        <v>10.947900000000001</v>
      </c>
      <c r="AT127" s="47">
        <f t="shared" si="74"/>
        <v>6.1581999999999999</v>
      </c>
      <c r="AU127" s="47">
        <f t="shared" si="60"/>
        <v>61582</v>
      </c>
      <c r="AV127" s="47">
        <f t="shared" si="69"/>
        <v>4.7896999999999998</v>
      </c>
      <c r="AW127" s="47">
        <f t="shared" si="61"/>
        <v>47897</v>
      </c>
      <c r="AX127" s="47">
        <f t="shared" si="77"/>
        <v>90.230599999999995</v>
      </c>
      <c r="AY127" s="47"/>
      <c r="AZ127" s="47"/>
      <c r="BA127" s="54">
        <v>1E-4</v>
      </c>
      <c r="BB127" s="65" t="s">
        <v>254</v>
      </c>
      <c r="BC127" s="51">
        <f t="shared" si="62"/>
        <v>179.48</v>
      </c>
      <c r="BD127" s="47"/>
      <c r="BE127" s="47">
        <f t="shared" si="63"/>
        <v>0</v>
      </c>
      <c r="BF127" s="47"/>
      <c r="BG127" s="72">
        <v>173.88</v>
      </c>
      <c r="BH127" s="47">
        <v>5.6</v>
      </c>
      <c r="BI127" s="51">
        <f t="shared" si="42"/>
        <v>64.915999999999997</v>
      </c>
      <c r="BJ127" s="51">
        <f t="shared" si="43"/>
        <v>0</v>
      </c>
      <c r="BK127" s="47"/>
      <c r="BL127" s="47"/>
      <c r="BM127" s="47"/>
      <c r="BN127" s="47"/>
      <c r="BO127" s="47"/>
      <c r="BP127" s="68">
        <f>4.836+0.48</f>
        <v>5.3160000000000007</v>
      </c>
      <c r="BQ127" s="47"/>
      <c r="BR127" s="47"/>
      <c r="BS127" s="73">
        <v>59.6</v>
      </c>
      <c r="BT127" s="47"/>
      <c r="BU127" s="47"/>
      <c r="BV127" s="47"/>
      <c r="BW127" s="68"/>
      <c r="BX127" s="47"/>
      <c r="BY127" s="47"/>
      <c r="BZ127" s="47"/>
      <c r="CA127" s="47"/>
      <c r="CB127" s="54">
        <f t="shared" si="44"/>
        <v>1315.2506000000001</v>
      </c>
      <c r="CC127" s="47"/>
      <c r="CD127" s="57">
        <v>236</v>
      </c>
      <c r="CE127" s="47"/>
      <c r="CF127" s="47">
        <f t="shared" si="45"/>
        <v>1551.2506000000001</v>
      </c>
    </row>
    <row r="128" spans="1:84" ht="14.25" customHeight="1">
      <c r="A128" s="47">
        <v>121</v>
      </c>
      <c r="B128" s="47" t="s">
        <v>129</v>
      </c>
      <c r="C128" s="48">
        <v>202006</v>
      </c>
      <c r="D128" s="60" t="s">
        <v>255</v>
      </c>
      <c r="E128" s="60" t="s">
        <v>150</v>
      </c>
      <c r="F128" s="50">
        <f t="shared" si="46"/>
        <v>70</v>
      </c>
      <c r="G128" s="50"/>
      <c r="H128" s="50"/>
      <c r="I128" s="50">
        <f>63+4</f>
        <v>67</v>
      </c>
      <c r="J128" s="50">
        <v>3</v>
      </c>
      <c r="K128" s="50"/>
      <c r="L128" s="50"/>
      <c r="M128" s="50"/>
      <c r="N128" s="50">
        <v>20</v>
      </c>
      <c r="O128" s="50">
        <f t="shared" si="47"/>
        <v>90</v>
      </c>
      <c r="P128" s="51">
        <f t="shared" si="34"/>
        <v>982.99250000000006</v>
      </c>
      <c r="Q128" s="51">
        <f t="shared" si="35"/>
        <v>791.04050000000007</v>
      </c>
      <c r="R128" s="47">
        <f t="shared" si="48"/>
        <v>267943</v>
      </c>
      <c r="S128" s="61"/>
      <c r="T128" s="61">
        <f>260183+7760</f>
        <v>267943</v>
      </c>
      <c r="U128" s="47">
        <f t="shared" si="49"/>
        <v>321.53160000000003</v>
      </c>
      <c r="V128" s="51">
        <f t="shared" si="2"/>
        <v>82.367999999999995</v>
      </c>
      <c r="W128" s="47">
        <f t="shared" si="50"/>
        <v>0</v>
      </c>
      <c r="X128" s="67">
        <v>58.247999999999998</v>
      </c>
      <c r="Y128" s="67">
        <v>24.12</v>
      </c>
      <c r="Z128" s="47"/>
      <c r="AA128" s="47"/>
      <c r="AB128" s="51">
        <f t="shared" si="64"/>
        <v>0</v>
      </c>
      <c r="AC128" s="47">
        <f t="shared" si="52"/>
        <v>0</v>
      </c>
      <c r="AD128" s="47"/>
      <c r="AE128" s="47"/>
      <c r="AF128" s="47"/>
      <c r="AG128" s="47">
        <f t="shared" si="75"/>
        <v>42000</v>
      </c>
      <c r="AH128" s="47"/>
      <c r="AI128" s="47">
        <f t="shared" si="54"/>
        <v>181.3</v>
      </c>
      <c r="AJ128" s="53">
        <f t="shared" si="76"/>
        <v>88.517099999999999</v>
      </c>
      <c r="AK128" s="53">
        <f t="shared" si="56"/>
        <v>885171</v>
      </c>
      <c r="AL128" s="47"/>
      <c r="AM128" s="47">
        <f t="shared" si="66"/>
        <v>42.890700000000002</v>
      </c>
      <c r="AN128" s="47">
        <f t="shared" si="67"/>
        <v>40.3765</v>
      </c>
      <c r="AO128" s="47">
        <f t="shared" si="57"/>
        <v>403765</v>
      </c>
      <c r="AP128" s="47">
        <f t="shared" si="38"/>
        <v>2.5142000000000002</v>
      </c>
      <c r="AQ128" s="47">
        <f t="shared" si="58"/>
        <v>25142.000000000004</v>
      </c>
      <c r="AR128" s="47"/>
      <c r="AS128" s="47">
        <f t="shared" si="73"/>
        <v>8.0452999999999992</v>
      </c>
      <c r="AT128" s="47">
        <f t="shared" si="74"/>
        <v>4.5255000000000001</v>
      </c>
      <c r="AU128" s="47">
        <f t="shared" si="60"/>
        <v>45255</v>
      </c>
      <c r="AV128" s="47">
        <f t="shared" si="69"/>
        <v>3.5198</v>
      </c>
      <c r="AW128" s="47">
        <f t="shared" si="61"/>
        <v>35198</v>
      </c>
      <c r="AX128" s="47">
        <f t="shared" si="77"/>
        <v>66.387799999999999</v>
      </c>
      <c r="AY128" s="47"/>
      <c r="AZ128" s="47"/>
      <c r="BA128" s="54">
        <v>1E-4</v>
      </c>
      <c r="BB128" s="65" t="s">
        <v>255</v>
      </c>
      <c r="BC128" s="51">
        <f t="shared" si="62"/>
        <v>143.97999999999999</v>
      </c>
      <c r="BD128" s="47"/>
      <c r="BE128" s="47">
        <f t="shared" si="63"/>
        <v>0</v>
      </c>
      <c r="BF128" s="47"/>
      <c r="BG128" s="72">
        <v>139.97999999999999</v>
      </c>
      <c r="BH128" s="47">
        <v>4</v>
      </c>
      <c r="BI128" s="51">
        <f t="shared" si="42"/>
        <v>47.972000000000001</v>
      </c>
      <c r="BJ128" s="51">
        <f t="shared" si="43"/>
        <v>0</v>
      </c>
      <c r="BK128" s="47"/>
      <c r="BL128" s="47"/>
      <c r="BM128" s="47"/>
      <c r="BN128" s="47"/>
      <c r="BO128" s="47"/>
      <c r="BP128" s="68">
        <v>6.3719999999999999</v>
      </c>
      <c r="BQ128" s="47"/>
      <c r="BR128" s="47"/>
      <c r="BS128" s="73">
        <v>41.6</v>
      </c>
      <c r="BT128" s="47"/>
      <c r="BU128" s="47"/>
      <c r="BV128" s="47"/>
      <c r="BW128" s="68"/>
      <c r="BX128" s="47"/>
      <c r="BY128" s="47"/>
      <c r="BZ128" s="47"/>
      <c r="CA128" s="47"/>
      <c r="CB128" s="54">
        <f t="shared" si="44"/>
        <v>982.99250000000006</v>
      </c>
      <c r="CC128" s="47"/>
      <c r="CD128" s="57">
        <v>196</v>
      </c>
      <c r="CE128" s="47"/>
      <c r="CF128" s="47">
        <f t="shared" si="45"/>
        <v>1178.9925000000001</v>
      </c>
    </row>
    <row r="129" spans="1:84" ht="14.25" customHeight="1">
      <c r="A129" s="47">
        <v>122</v>
      </c>
      <c r="B129" s="47" t="s">
        <v>129</v>
      </c>
      <c r="C129" s="48">
        <v>202007</v>
      </c>
      <c r="D129" s="60" t="s">
        <v>256</v>
      </c>
      <c r="E129" s="60" t="s">
        <v>150</v>
      </c>
      <c r="F129" s="50">
        <f t="shared" si="46"/>
        <v>272</v>
      </c>
      <c r="G129" s="50"/>
      <c r="H129" s="50"/>
      <c r="I129" s="50">
        <f>254+11</f>
        <v>265</v>
      </c>
      <c r="J129" s="50">
        <v>7</v>
      </c>
      <c r="K129" s="50"/>
      <c r="L129" s="50"/>
      <c r="M129" s="50"/>
      <c r="N129" s="50">
        <v>71</v>
      </c>
      <c r="O129" s="50">
        <f t="shared" si="47"/>
        <v>343</v>
      </c>
      <c r="P129" s="51">
        <f t="shared" si="34"/>
        <v>3623.7057000000009</v>
      </c>
      <c r="Q129" s="51">
        <f t="shared" si="35"/>
        <v>2989.3817000000008</v>
      </c>
      <c r="R129" s="47">
        <f t="shared" si="48"/>
        <v>1183398</v>
      </c>
      <c r="S129" s="61"/>
      <c r="T129" s="61">
        <f>1162058+21340</f>
        <v>1183398</v>
      </c>
      <c r="U129" s="47">
        <f t="shared" si="49"/>
        <v>1420.0776000000001</v>
      </c>
      <c r="V129" s="51">
        <f t="shared" si="2"/>
        <v>0</v>
      </c>
      <c r="W129" s="47">
        <f t="shared" si="50"/>
        <v>0</v>
      </c>
      <c r="X129" s="47"/>
      <c r="Y129" s="47"/>
      <c r="Z129" s="47"/>
      <c r="AA129" s="47"/>
      <c r="AB129" s="51">
        <f t="shared" si="64"/>
        <v>0</v>
      </c>
      <c r="AC129" s="47">
        <f t="shared" si="52"/>
        <v>0</v>
      </c>
      <c r="AD129" s="47"/>
      <c r="AE129" s="47"/>
      <c r="AF129" s="47"/>
      <c r="AG129" s="47">
        <f t="shared" si="75"/>
        <v>163200</v>
      </c>
      <c r="AH129" s="47"/>
      <c r="AI129" s="47">
        <f t="shared" si="54"/>
        <v>704.48</v>
      </c>
      <c r="AJ129" s="53">
        <f t="shared" si="76"/>
        <v>371.2636</v>
      </c>
      <c r="AK129" s="53">
        <f t="shared" si="56"/>
        <v>3712636</v>
      </c>
      <c r="AL129" s="47"/>
      <c r="AM129" s="47">
        <f t="shared" si="66"/>
        <v>181.1199</v>
      </c>
      <c r="AN129" s="47">
        <f t="shared" si="67"/>
        <v>170.49709999999999</v>
      </c>
      <c r="AO129" s="47">
        <f t="shared" si="57"/>
        <v>1704971</v>
      </c>
      <c r="AP129" s="47">
        <f t="shared" si="38"/>
        <v>10.6228</v>
      </c>
      <c r="AQ129" s="47">
        <f t="shared" si="58"/>
        <v>106228</v>
      </c>
      <c r="AR129" s="47"/>
      <c r="AS129" s="47">
        <f t="shared" si="73"/>
        <v>33.992899999999999</v>
      </c>
      <c r="AT129" s="47">
        <f t="shared" si="74"/>
        <v>19.120999999999999</v>
      </c>
      <c r="AU129" s="47">
        <f t="shared" si="60"/>
        <v>191210</v>
      </c>
      <c r="AV129" s="47">
        <f t="shared" si="69"/>
        <v>14.8719</v>
      </c>
      <c r="AW129" s="47">
        <f t="shared" si="61"/>
        <v>148719</v>
      </c>
      <c r="AX129" s="47">
        <f t="shared" si="77"/>
        <v>278.4477</v>
      </c>
      <c r="AY129" s="47"/>
      <c r="AZ129" s="47"/>
      <c r="BA129" s="54">
        <v>1E-4</v>
      </c>
      <c r="BB129" s="65" t="s">
        <v>256</v>
      </c>
      <c r="BC129" s="51">
        <f t="shared" si="62"/>
        <v>509.5</v>
      </c>
      <c r="BD129" s="47"/>
      <c r="BE129" s="47">
        <f t="shared" si="63"/>
        <v>0</v>
      </c>
      <c r="BF129" s="47"/>
      <c r="BG129" s="72">
        <v>477.5</v>
      </c>
      <c r="BH129" s="47">
        <v>32</v>
      </c>
      <c r="BI129" s="51">
        <f t="shared" si="42"/>
        <v>124.824</v>
      </c>
      <c r="BJ129" s="51">
        <f t="shared" si="43"/>
        <v>0</v>
      </c>
      <c r="BK129" s="47"/>
      <c r="BL129" s="47"/>
      <c r="BM129" s="47"/>
      <c r="BN129" s="47"/>
      <c r="BO129" s="47"/>
      <c r="BP129" s="68">
        <v>4.8239999999999998</v>
      </c>
      <c r="BQ129" s="47"/>
      <c r="BR129" s="47"/>
      <c r="BS129" s="73">
        <v>120</v>
      </c>
      <c r="BT129" s="47"/>
      <c r="BU129" s="47"/>
      <c r="BV129" s="47"/>
      <c r="BW129" s="68"/>
      <c r="BX129" s="47">
        <v>30</v>
      </c>
      <c r="BY129" s="47"/>
      <c r="BZ129" s="47"/>
      <c r="CA129" s="47"/>
      <c r="CB129" s="54">
        <f t="shared" si="44"/>
        <v>3653.7057000000009</v>
      </c>
      <c r="CC129" s="47"/>
      <c r="CD129" s="57">
        <v>858</v>
      </c>
      <c r="CE129" s="47"/>
      <c r="CF129" s="47">
        <f t="shared" si="45"/>
        <v>4511.7057000000004</v>
      </c>
    </row>
    <row r="130" spans="1:84" ht="28.5" customHeight="1">
      <c r="A130" s="47">
        <v>123</v>
      </c>
      <c r="B130" s="47" t="s">
        <v>129</v>
      </c>
      <c r="C130" s="48">
        <v>202008</v>
      </c>
      <c r="D130" s="71" t="s">
        <v>257</v>
      </c>
      <c r="E130" s="60" t="s">
        <v>150</v>
      </c>
      <c r="F130" s="50">
        <f t="shared" si="46"/>
        <v>178</v>
      </c>
      <c r="G130" s="50"/>
      <c r="H130" s="50"/>
      <c r="I130" s="50">
        <f>158+11</f>
        <v>169</v>
      </c>
      <c r="J130" s="50">
        <v>9</v>
      </c>
      <c r="K130" s="50"/>
      <c r="L130" s="50"/>
      <c r="M130" s="50">
        <v>1</v>
      </c>
      <c r="N130" s="50">
        <v>38</v>
      </c>
      <c r="O130" s="50">
        <f t="shared" si="47"/>
        <v>217</v>
      </c>
      <c r="P130" s="51">
        <f t="shared" si="34"/>
        <v>3310.9829999999997</v>
      </c>
      <c r="Q130" s="51">
        <f t="shared" si="35"/>
        <v>1895.5089999999998</v>
      </c>
      <c r="R130" s="47">
        <f t="shared" si="48"/>
        <v>737793</v>
      </c>
      <c r="S130" s="61"/>
      <c r="T130" s="61">
        <v>737793</v>
      </c>
      <c r="U130" s="47">
        <f t="shared" si="49"/>
        <v>885.35159999999996</v>
      </c>
      <c r="V130" s="51">
        <f t="shared" si="2"/>
        <v>0</v>
      </c>
      <c r="W130" s="47">
        <f t="shared" si="50"/>
        <v>0</v>
      </c>
      <c r="X130" s="47"/>
      <c r="Y130" s="47"/>
      <c r="Z130" s="47"/>
      <c r="AA130" s="47"/>
      <c r="AB130" s="51">
        <f t="shared" si="64"/>
        <v>0</v>
      </c>
      <c r="AC130" s="47">
        <f t="shared" si="52"/>
        <v>0</v>
      </c>
      <c r="AD130" s="47"/>
      <c r="AE130" s="47"/>
      <c r="AF130" s="47"/>
      <c r="AG130" s="47">
        <f t="shared" si="75"/>
        <v>106800</v>
      </c>
      <c r="AH130" s="47"/>
      <c r="AI130" s="47">
        <f t="shared" si="54"/>
        <v>461.02</v>
      </c>
      <c r="AJ130" s="53">
        <f t="shared" si="76"/>
        <v>235.92509999999999</v>
      </c>
      <c r="AK130" s="53">
        <f t="shared" si="56"/>
        <v>2359251</v>
      </c>
      <c r="AL130" s="47"/>
      <c r="AM130" s="47">
        <f t="shared" si="66"/>
        <v>114.7266</v>
      </c>
      <c r="AN130" s="47">
        <f t="shared" si="67"/>
        <v>107.99469999999999</v>
      </c>
      <c r="AO130" s="47">
        <f t="shared" si="57"/>
        <v>1079947</v>
      </c>
      <c r="AP130" s="47">
        <f t="shared" si="38"/>
        <v>6.7319000000000004</v>
      </c>
      <c r="AQ130" s="47">
        <f t="shared" si="58"/>
        <v>67319</v>
      </c>
      <c r="AR130" s="47"/>
      <c r="AS130" s="47">
        <f t="shared" si="73"/>
        <v>21.541899999999998</v>
      </c>
      <c r="AT130" s="47">
        <f t="shared" si="74"/>
        <v>12.1173</v>
      </c>
      <c r="AU130" s="47">
        <f t="shared" si="60"/>
        <v>121173</v>
      </c>
      <c r="AV130" s="47">
        <f t="shared" si="69"/>
        <v>9.4245999999999999</v>
      </c>
      <c r="AW130" s="47">
        <f t="shared" si="61"/>
        <v>94246</v>
      </c>
      <c r="AX130" s="47">
        <f t="shared" si="77"/>
        <v>176.94380000000001</v>
      </c>
      <c r="AY130" s="47"/>
      <c r="AZ130" s="47"/>
      <c r="BA130" s="54">
        <v>1E-4</v>
      </c>
      <c r="BB130" s="74" t="s">
        <v>257</v>
      </c>
      <c r="BC130" s="51">
        <f t="shared" si="62"/>
        <v>889.52</v>
      </c>
      <c r="BD130" s="47"/>
      <c r="BE130" s="47">
        <f t="shared" si="63"/>
        <v>0</v>
      </c>
      <c r="BF130" s="47"/>
      <c r="BG130" s="72">
        <v>867.12</v>
      </c>
      <c r="BH130" s="47">
        <v>22.4</v>
      </c>
      <c r="BI130" s="51">
        <f t="shared" si="42"/>
        <v>525.95400000000006</v>
      </c>
      <c r="BJ130" s="51">
        <f t="shared" si="43"/>
        <v>4.3860000000000001</v>
      </c>
      <c r="BK130" s="47"/>
      <c r="BL130" s="47">
        <v>4.3860000000000001</v>
      </c>
      <c r="BM130" s="47"/>
      <c r="BN130" s="47"/>
      <c r="BO130" s="47"/>
      <c r="BP130" s="68">
        <v>4.968</v>
      </c>
      <c r="BQ130" s="47"/>
      <c r="BR130" s="47"/>
      <c r="BS130" s="73">
        <v>516.6</v>
      </c>
      <c r="BT130" s="47"/>
      <c r="BU130" s="47"/>
      <c r="BV130" s="47"/>
      <c r="BW130" s="47"/>
      <c r="BX130" s="47">
        <v>80</v>
      </c>
      <c r="BY130" s="47"/>
      <c r="BZ130" s="47">
        <v>860</v>
      </c>
      <c r="CA130" s="47"/>
      <c r="CB130" s="54">
        <f t="shared" si="44"/>
        <v>4250.9830000000002</v>
      </c>
      <c r="CC130" s="47"/>
      <c r="CD130" s="57">
        <v>177</v>
      </c>
      <c r="CE130" s="47"/>
      <c r="CF130" s="47">
        <f t="shared" si="45"/>
        <v>4427.9830000000002</v>
      </c>
    </row>
    <row r="131" spans="1:84" ht="14.25" customHeight="1">
      <c r="A131" s="47">
        <v>124</v>
      </c>
      <c r="B131" s="47" t="s">
        <v>129</v>
      </c>
      <c r="C131" s="48">
        <v>202009</v>
      </c>
      <c r="D131" s="60" t="s">
        <v>258</v>
      </c>
      <c r="E131" s="60" t="s">
        <v>150</v>
      </c>
      <c r="F131" s="50">
        <f t="shared" si="46"/>
        <v>23</v>
      </c>
      <c r="G131" s="50"/>
      <c r="H131" s="50"/>
      <c r="I131" s="50">
        <v>23</v>
      </c>
      <c r="J131" s="50"/>
      <c r="K131" s="50"/>
      <c r="L131" s="50"/>
      <c r="M131" s="50"/>
      <c r="N131" s="50">
        <v>27</v>
      </c>
      <c r="O131" s="50">
        <f t="shared" si="47"/>
        <v>50</v>
      </c>
      <c r="P131" s="51">
        <f t="shared" si="34"/>
        <v>299.99589999999995</v>
      </c>
      <c r="Q131" s="51">
        <f t="shared" si="35"/>
        <v>295.56789999999995</v>
      </c>
      <c r="R131" s="47">
        <f t="shared" si="48"/>
        <v>125792</v>
      </c>
      <c r="S131" s="61"/>
      <c r="T131" s="61">
        <v>125792</v>
      </c>
      <c r="U131" s="47">
        <f t="shared" si="49"/>
        <v>150.9504</v>
      </c>
      <c r="V131" s="51">
        <f t="shared" si="2"/>
        <v>0</v>
      </c>
      <c r="W131" s="47">
        <f t="shared" si="50"/>
        <v>0</v>
      </c>
      <c r="X131" s="47"/>
      <c r="Y131" s="47"/>
      <c r="Z131" s="47"/>
      <c r="AA131" s="47"/>
      <c r="AB131" s="51">
        <f t="shared" si="64"/>
        <v>0</v>
      </c>
      <c r="AC131" s="47">
        <f t="shared" si="52"/>
        <v>0</v>
      </c>
      <c r="AD131" s="47"/>
      <c r="AE131" s="47"/>
      <c r="AF131" s="47"/>
      <c r="AG131" s="47">
        <f t="shared" si="75"/>
        <v>13800</v>
      </c>
      <c r="AH131" s="47"/>
      <c r="AI131" s="47">
        <f t="shared" si="54"/>
        <v>59.57</v>
      </c>
      <c r="AJ131" s="53">
        <f t="shared" si="76"/>
        <v>36.332900000000002</v>
      </c>
      <c r="AK131" s="53">
        <f t="shared" si="56"/>
        <v>363329</v>
      </c>
      <c r="AL131" s="47"/>
      <c r="AM131" s="47">
        <f t="shared" si="66"/>
        <v>18.096699999999998</v>
      </c>
      <c r="AN131" s="47">
        <f t="shared" si="67"/>
        <v>17.0441</v>
      </c>
      <c r="AO131" s="47">
        <f t="shared" si="57"/>
        <v>170441</v>
      </c>
      <c r="AP131" s="47">
        <f t="shared" si="38"/>
        <v>1.0526</v>
      </c>
      <c r="AQ131" s="47">
        <f t="shared" si="58"/>
        <v>10526</v>
      </c>
      <c r="AR131" s="47"/>
      <c r="AS131" s="47">
        <f t="shared" si="73"/>
        <v>3.3683000000000001</v>
      </c>
      <c r="AT131" s="47">
        <f t="shared" si="74"/>
        <v>1.8947000000000001</v>
      </c>
      <c r="AU131" s="47">
        <f t="shared" si="60"/>
        <v>18947</v>
      </c>
      <c r="AV131" s="47">
        <f t="shared" si="69"/>
        <v>1.4736</v>
      </c>
      <c r="AW131" s="47">
        <f t="shared" si="61"/>
        <v>14736</v>
      </c>
      <c r="AX131" s="47">
        <f t="shared" si="77"/>
        <v>27.249600000000001</v>
      </c>
      <c r="AY131" s="47"/>
      <c r="AZ131" s="47"/>
      <c r="BA131" s="54">
        <v>1E-4</v>
      </c>
      <c r="BB131" s="65" t="s">
        <v>258</v>
      </c>
      <c r="BC131" s="51">
        <f t="shared" si="62"/>
        <v>0</v>
      </c>
      <c r="BD131" s="47"/>
      <c r="BE131" s="47">
        <f t="shared" si="63"/>
        <v>0</v>
      </c>
      <c r="BF131" s="47"/>
      <c r="BG131" s="56"/>
      <c r="BH131" s="47"/>
      <c r="BI131" s="51">
        <f t="shared" si="42"/>
        <v>4.4279999999999999</v>
      </c>
      <c r="BJ131" s="51">
        <f t="shared" si="43"/>
        <v>0</v>
      </c>
      <c r="BK131" s="47"/>
      <c r="BL131" s="47"/>
      <c r="BM131" s="47"/>
      <c r="BN131" s="47"/>
      <c r="BO131" s="47"/>
      <c r="BP131" s="68">
        <v>4.4279999999999999</v>
      </c>
      <c r="BQ131" s="47"/>
      <c r="BR131" s="47"/>
      <c r="BS131" s="53"/>
      <c r="BT131" s="47"/>
      <c r="BU131" s="47"/>
      <c r="BV131" s="47"/>
      <c r="BW131" s="47"/>
      <c r="BX131" s="47"/>
      <c r="BY131" s="47"/>
      <c r="BZ131" s="47"/>
      <c r="CA131" s="47"/>
      <c r="CB131" s="54">
        <f t="shared" si="44"/>
        <v>299.99589999999995</v>
      </c>
      <c r="CC131" s="47"/>
      <c r="CD131" s="57">
        <v>4</v>
      </c>
      <c r="CE131" s="47"/>
      <c r="CF131" s="47">
        <f t="shared" si="45"/>
        <v>303.99589999999995</v>
      </c>
    </row>
    <row r="132" spans="1:84" ht="14.25" customHeight="1">
      <c r="A132" s="47">
        <v>125</v>
      </c>
      <c r="B132" s="47" t="s">
        <v>129</v>
      </c>
      <c r="C132" s="75">
        <v>202010</v>
      </c>
      <c r="D132" s="60" t="s">
        <v>259</v>
      </c>
      <c r="E132" s="60" t="s">
        <v>150</v>
      </c>
      <c r="F132" s="50">
        <f t="shared" si="46"/>
        <v>17</v>
      </c>
      <c r="G132" s="50"/>
      <c r="H132" s="50"/>
      <c r="I132" s="50">
        <v>17</v>
      </c>
      <c r="J132" s="50"/>
      <c r="K132" s="50"/>
      <c r="L132" s="50"/>
      <c r="M132" s="50"/>
      <c r="N132" s="50">
        <v>13</v>
      </c>
      <c r="O132" s="50">
        <f t="shared" si="47"/>
        <v>30</v>
      </c>
      <c r="P132" s="51">
        <f t="shared" si="34"/>
        <v>289.09659999999997</v>
      </c>
      <c r="Q132" s="51">
        <f t="shared" si="35"/>
        <v>169.09659999999997</v>
      </c>
      <c r="R132" s="47">
        <f t="shared" si="48"/>
        <v>63219</v>
      </c>
      <c r="S132" s="61"/>
      <c r="T132" s="61">
        <v>63219</v>
      </c>
      <c r="U132" s="47">
        <f t="shared" si="49"/>
        <v>75.862799999999993</v>
      </c>
      <c r="V132" s="51">
        <f t="shared" si="2"/>
        <v>0</v>
      </c>
      <c r="W132" s="47">
        <f t="shared" si="50"/>
        <v>0</v>
      </c>
      <c r="X132" s="47"/>
      <c r="Y132" s="47"/>
      <c r="Z132" s="47"/>
      <c r="AA132" s="47"/>
      <c r="AB132" s="51">
        <f t="shared" si="64"/>
        <v>0</v>
      </c>
      <c r="AC132" s="47">
        <f t="shared" si="52"/>
        <v>0</v>
      </c>
      <c r="AD132" s="47"/>
      <c r="AE132" s="47"/>
      <c r="AF132" s="47"/>
      <c r="AG132" s="47">
        <f t="shared" si="75"/>
        <v>10200</v>
      </c>
      <c r="AH132" s="47"/>
      <c r="AI132" s="47">
        <f t="shared" si="54"/>
        <v>44.03</v>
      </c>
      <c r="AJ132" s="53">
        <f t="shared" si="76"/>
        <v>21.141200000000001</v>
      </c>
      <c r="AK132" s="53">
        <f t="shared" si="56"/>
        <v>211412</v>
      </c>
      <c r="AL132" s="47"/>
      <c r="AM132" s="47">
        <f t="shared" si="66"/>
        <v>10.288399999999999</v>
      </c>
      <c r="AN132" s="47">
        <f t="shared" si="67"/>
        <v>9.6889000000000003</v>
      </c>
      <c r="AO132" s="47">
        <f t="shared" si="57"/>
        <v>96889</v>
      </c>
      <c r="AP132" s="47">
        <f t="shared" si="38"/>
        <v>0.59950000000000003</v>
      </c>
      <c r="AQ132" s="47">
        <f t="shared" si="58"/>
        <v>5995</v>
      </c>
      <c r="AR132" s="47"/>
      <c r="AS132" s="47">
        <f t="shared" si="73"/>
        <v>1.9182999999999999</v>
      </c>
      <c r="AT132" s="47">
        <f t="shared" si="74"/>
        <v>1.079</v>
      </c>
      <c r="AU132" s="47">
        <f t="shared" si="60"/>
        <v>10790</v>
      </c>
      <c r="AV132" s="47">
        <f t="shared" si="69"/>
        <v>0.83919999999999995</v>
      </c>
      <c r="AW132" s="47">
        <f t="shared" si="61"/>
        <v>8392</v>
      </c>
      <c r="AX132" s="47">
        <f t="shared" si="77"/>
        <v>15.8559</v>
      </c>
      <c r="AY132" s="47"/>
      <c r="AZ132" s="47"/>
      <c r="BA132" s="54">
        <v>1E-4</v>
      </c>
      <c r="BB132" s="65" t="s">
        <v>259</v>
      </c>
      <c r="BC132" s="51">
        <f t="shared" si="62"/>
        <v>120</v>
      </c>
      <c r="BD132" s="47"/>
      <c r="BE132" s="47">
        <f t="shared" si="63"/>
        <v>0</v>
      </c>
      <c r="BF132" s="47"/>
      <c r="BG132" s="56"/>
      <c r="BH132" s="47">
        <v>120</v>
      </c>
      <c r="BI132" s="51">
        <f t="shared" si="42"/>
        <v>0</v>
      </c>
      <c r="BJ132" s="51">
        <f t="shared" si="43"/>
        <v>0</v>
      </c>
      <c r="BK132" s="47"/>
      <c r="BL132" s="47"/>
      <c r="BM132" s="47"/>
      <c r="BN132" s="47"/>
      <c r="BO132" s="47"/>
      <c r="BP132" s="47"/>
      <c r="BQ132" s="47"/>
      <c r="BR132" s="47"/>
      <c r="BS132" s="53"/>
      <c r="BT132" s="47"/>
      <c r="BU132" s="47"/>
      <c r="BV132" s="47"/>
      <c r="BW132" s="47"/>
      <c r="BX132" s="47"/>
      <c r="BY132" s="47"/>
      <c r="BZ132" s="47"/>
      <c r="CA132" s="47"/>
      <c r="CB132" s="54">
        <f t="shared" si="44"/>
        <v>289.09659999999997</v>
      </c>
      <c r="CC132" s="47"/>
      <c r="CD132" s="57"/>
      <c r="CE132" s="47"/>
      <c r="CF132" s="47">
        <f t="shared" si="45"/>
        <v>289.09659999999997</v>
      </c>
    </row>
    <row r="133" spans="1:84" ht="14.25" customHeight="1">
      <c r="A133" s="47">
        <v>126</v>
      </c>
      <c r="B133" s="47" t="s">
        <v>129</v>
      </c>
      <c r="C133" s="75">
        <v>202011</v>
      </c>
      <c r="D133" s="60" t="s">
        <v>260</v>
      </c>
      <c r="E133" s="60" t="s">
        <v>150</v>
      </c>
      <c r="F133" s="50">
        <f t="shared" si="46"/>
        <v>9</v>
      </c>
      <c r="G133" s="50"/>
      <c r="H133" s="50"/>
      <c r="I133" s="50">
        <v>8</v>
      </c>
      <c r="J133" s="50">
        <v>1</v>
      </c>
      <c r="K133" s="50"/>
      <c r="L133" s="50"/>
      <c r="M133" s="50"/>
      <c r="N133" s="50">
        <v>7</v>
      </c>
      <c r="O133" s="50">
        <f t="shared" si="47"/>
        <v>16</v>
      </c>
      <c r="P133" s="51">
        <f t="shared" si="34"/>
        <v>159.45070000000001</v>
      </c>
      <c r="Q133" s="51">
        <f t="shared" si="35"/>
        <v>115.3507</v>
      </c>
      <c r="R133" s="47">
        <f t="shared" si="48"/>
        <v>32280</v>
      </c>
      <c r="S133" s="61"/>
      <c r="T133" s="61">
        <v>32280</v>
      </c>
      <c r="U133" s="47">
        <f t="shared" si="49"/>
        <v>38.735999999999997</v>
      </c>
      <c r="V133" s="51">
        <f t="shared" si="2"/>
        <v>18.0108</v>
      </c>
      <c r="W133" s="47">
        <f t="shared" si="50"/>
        <v>0</v>
      </c>
      <c r="X133" s="47"/>
      <c r="Y133" s="47"/>
      <c r="Z133" s="47"/>
      <c r="AA133" s="67">
        <v>18.0108</v>
      </c>
      <c r="AB133" s="51">
        <f t="shared" si="64"/>
        <v>9.7200000000000006</v>
      </c>
      <c r="AC133" s="47">
        <f t="shared" si="52"/>
        <v>0</v>
      </c>
      <c r="AD133" s="47"/>
      <c r="AE133" s="67">
        <f>ROUND(AG133*3/2*12/10000,4)</f>
        <v>9.7200000000000006</v>
      </c>
      <c r="AF133" s="47"/>
      <c r="AG133" s="64">
        <v>5400</v>
      </c>
      <c r="AH133" s="47"/>
      <c r="AI133" s="47">
        <f t="shared" si="54"/>
        <v>23.31</v>
      </c>
      <c r="AJ133" s="53">
        <f>ROUND((U133+W133+AC133+AE133*2/3+AF133+AI133)*0.16,4)</f>
        <v>10.9642</v>
      </c>
      <c r="AK133" s="53">
        <f t="shared" si="56"/>
        <v>109642</v>
      </c>
      <c r="AL133" s="47"/>
      <c r="AM133" s="47">
        <f t="shared" ref="AM133:AM148" si="78">ROUND(((U133+W133+AI133)*0.085+N133*0.0075+F133*0.0075),4)</f>
        <v>5.3939000000000004</v>
      </c>
      <c r="AN133" s="47">
        <f t="shared" ref="AN133:AN148" si="79">ROUND(((U133+W133+AI133)*0.08+N133*0.0075+F133*0.0075),4)</f>
        <v>5.0837000000000003</v>
      </c>
      <c r="AO133" s="47">
        <f t="shared" si="57"/>
        <v>50837</v>
      </c>
      <c r="AP133" s="47">
        <f t="shared" si="38"/>
        <v>0.31019999999999998</v>
      </c>
      <c r="AQ133" s="47">
        <f t="shared" si="58"/>
        <v>3101.9999999999995</v>
      </c>
      <c r="AR133" s="47"/>
      <c r="AS133" s="47">
        <f t="shared" si="73"/>
        <v>0.99270000000000003</v>
      </c>
      <c r="AT133" s="47">
        <f t="shared" si="74"/>
        <v>0.55840000000000001</v>
      </c>
      <c r="AU133" s="47">
        <f t="shared" si="60"/>
        <v>5584</v>
      </c>
      <c r="AV133" s="47">
        <f t="shared" si="69"/>
        <v>0.43430000000000002</v>
      </c>
      <c r="AW133" s="47">
        <f t="shared" si="61"/>
        <v>4343</v>
      </c>
      <c r="AX133" s="47">
        <f t="shared" ref="AX133:AX148" si="80">ROUND((U133+W133+AC133+AE133*2/3+AF133+AI133)*0.12,4)</f>
        <v>8.2231000000000005</v>
      </c>
      <c r="AY133" s="47"/>
      <c r="AZ133" s="47"/>
      <c r="BA133" s="54">
        <v>1E-4</v>
      </c>
      <c r="BB133" s="65" t="s">
        <v>260</v>
      </c>
      <c r="BC133" s="51">
        <f t="shared" si="62"/>
        <v>40.799999999999997</v>
      </c>
      <c r="BD133" s="47"/>
      <c r="BE133" s="47">
        <f t="shared" si="63"/>
        <v>0</v>
      </c>
      <c r="BF133" s="47"/>
      <c r="BG133" s="56">
        <v>40.799999999999997</v>
      </c>
      <c r="BH133" s="47"/>
      <c r="BI133" s="51">
        <f t="shared" si="42"/>
        <v>3.3</v>
      </c>
      <c r="BJ133" s="51">
        <f t="shared" si="43"/>
        <v>0</v>
      </c>
      <c r="BK133" s="47"/>
      <c r="BL133" s="47"/>
      <c r="BM133" s="47"/>
      <c r="BN133" s="47"/>
      <c r="BO133" s="47"/>
      <c r="BP133" s="47"/>
      <c r="BQ133" s="47"/>
      <c r="BR133" s="47"/>
      <c r="BS133" s="53">
        <v>3.3</v>
      </c>
      <c r="BT133" s="47"/>
      <c r="BU133" s="47"/>
      <c r="BV133" s="47"/>
      <c r="BW133" s="47"/>
      <c r="BX133" s="47">
        <v>20</v>
      </c>
      <c r="BY133" s="47"/>
      <c r="BZ133" s="47"/>
      <c r="CA133" s="47"/>
      <c r="CB133" s="54">
        <f t="shared" si="44"/>
        <v>179.45070000000001</v>
      </c>
      <c r="CC133" s="47"/>
      <c r="CD133" s="57"/>
      <c r="CE133" s="47"/>
      <c r="CF133" s="47">
        <f t="shared" si="45"/>
        <v>179.45070000000001</v>
      </c>
    </row>
    <row r="134" spans="1:84" ht="14.25" customHeight="1">
      <c r="A134" s="47">
        <v>127</v>
      </c>
      <c r="B134" s="47" t="s">
        <v>129</v>
      </c>
      <c r="C134" s="48">
        <v>202012</v>
      </c>
      <c r="D134" s="71" t="s">
        <v>261</v>
      </c>
      <c r="E134" s="60" t="s">
        <v>150</v>
      </c>
      <c r="F134" s="50">
        <f t="shared" si="46"/>
        <v>1057</v>
      </c>
      <c r="G134" s="50"/>
      <c r="H134" s="50"/>
      <c r="I134" s="50">
        <f>1041-1+10</f>
        <v>1050</v>
      </c>
      <c r="J134" s="50">
        <v>7</v>
      </c>
      <c r="K134" s="50"/>
      <c r="L134" s="50"/>
      <c r="M134" s="50"/>
      <c r="N134" s="50">
        <v>449</v>
      </c>
      <c r="O134" s="50">
        <f t="shared" si="47"/>
        <v>1506</v>
      </c>
      <c r="P134" s="51">
        <f t="shared" si="34"/>
        <v>15063.2726</v>
      </c>
      <c r="Q134" s="51">
        <f t="shared" si="35"/>
        <v>13256.4234</v>
      </c>
      <c r="R134" s="47">
        <f t="shared" si="48"/>
        <v>4325478</v>
      </c>
      <c r="S134" s="61"/>
      <c r="T134" s="61">
        <f>4299659+25819</f>
        <v>4325478</v>
      </c>
      <c r="U134" s="47">
        <f t="shared" si="49"/>
        <v>5190.5735999999997</v>
      </c>
      <c r="V134" s="51">
        <f t="shared" si="2"/>
        <v>941.62800000000004</v>
      </c>
      <c r="W134" s="47">
        <f t="shared" si="50"/>
        <v>0</v>
      </c>
      <c r="X134" s="67">
        <v>938.73599999999999</v>
      </c>
      <c r="Y134" s="47"/>
      <c r="Z134" s="47"/>
      <c r="AA134" s="47">
        <v>2.8919999999999999</v>
      </c>
      <c r="AB134" s="51">
        <f t="shared" si="64"/>
        <v>1141.56</v>
      </c>
      <c r="AC134" s="47">
        <f t="shared" si="52"/>
        <v>0</v>
      </c>
      <c r="AD134" s="47"/>
      <c r="AE134" s="67">
        <f>ROUND(AG134*3/2*12/10000,4)</f>
        <v>1141.56</v>
      </c>
      <c r="AF134" s="47"/>
      <c r="AG134" s="64">
        <v>634200</v>
      </c>
      <c r="AH134" s="47"/>
      <c r="AI134" s="47">
        <f t="shared" si="54"/>
        <v>2737.63</v>
      </c>
      <c r="AJ134" s="53">
        <f t="shared" ref="AJ134:AJ148" si="81">ROUND((U134+W134+AC134+AE134*2/3+AF134+AI134)*0.16,4)</f>
        <v>1390.279</v>
      </c>
      <c r="AK134" s="53">
        <f t="shared" si="56"/>
        <v>13902790</v>
      </c>
      <c r="AL134" s="47"/>
      <c r="AM134" s="47">
        <f t="shared" si="78"/>
        <v>685.19230000000005</v>
      </c>
      <c r="AN134" s="47">
        <f t="shared" si="79"/>
        <v>645.55129999999997</v>
      </c>
      <c r="AO134" s="47">
        <f t="shared" si="57"/>
        <v>6455513</v>
      </c>
      <c r="AP134" s="47">
        <f t="shared" si="38"/>
        <v>39.640999999999998</v>
      </c>
      <c r="AQ134" s="47">
        <f t="shared" si="58"/>
        <v>396410</v>
      </c>
      <c r="AR134" s="47"/>
      <c r="AS134" s="47">
        <f t="shared" si="73"/>
        <v>126.85129999999999</v>
      </c>
      <c r="AT134" s="47">
        <f t="shared" si="74"/>
        <v>71.353800000000007</v>
      </c>
      <c r="AU134" s="47">
        <f t="shared" si="60"/>
        <v>713538.00000000012</v>
      </c>
      <c r="AV134" s="47">
        <f t="shared" si="69"/>
        <v>55.497399999999999</v>
      </c>
      <c r="AW134" s="47">
        <f t="shared" si="61"/>
        <v>554974</v>
      </c>
      <c r="AX134" s="47">
        <f t="shared" si="80"/>
        <v>1042.7092</v>
      </c>
      <c r="AY134" s="47"/>
      <c r="AZ134" s="47"/>
      <c r="BA134" s="54">
        <v>1E-4</v>
      </c>
      <c r="BB134" s="74" t="s">
        <v>261</v>
      </c>
      <c r="BC134" s="51">
        <f t="shared" si="62"/>
        <v>1623.09</v>
      </c>
      <c r="BD134" s="47"/>
      <c r="BE134" s="47">
        <f t="shared" si="63"/>
        <v>0</v>
      </c>
      <c r="BF134" s="47"/>
      <c r="BG134" s="56">
        <v>1527.09</v>
      </c>
      <c r="BH134" s="47">
        <v>96</v>
      </c>
      <c r="BI134" s="51">
        <f t="shared" si="42"/>
        <v>183.75919999999999</v>
      </c>
      <c r="BJ134" s="51">
        <f t="shared" si="43"/>
        <v>0</v>
      </c>
      <c r="BK134" s="47"/>
      <c r="BL134" s="47"/>
      <c r="BM134" s="47"/>
      <c r="BN134" s="47"/>
      <c r="BO134" s="47"/>
      <c r="BP134" s="68">
        <v>27.2592</v>
      </c>
      <c r="BQ134" s="47"/>
      <c r="BR134" s="47"/>
      <c r="BS134" s="76">
        <v>156.5</v>
      </c>
      <c r="BT134" s="47"/>
      <c r="BU134" s="47"/>
      <c r="BV134" s="47"/>
      <c r="BW134" s="47"/>
      <c r="BX134" s="47"/>
      <c r="BY134" s="47"/>
      <c r="BZ134" s="47"/>
      <c r="CA134" s="47"/>
      <c r="CB134" s="54">
        <f t="shared" si="44"/>
        <v>15063.2726</v>
      </c>
      <c r="CC134" s="47"/>
      <c r="CD134" s="57"/>
      <c r="CE134" s="47"/>
      <c r="CF134" s="47">
        <f t="shared" si="45"/>
        <v>15063.2726</v>
      </c>
    </row>
    <row r="135" spans="1:84" ht="14.25" customHeight="1">
      <c r="A135" s="47">
        <v>128</v>
      </c>
      <c r="B135" s="47" t="s">
        <v>129</v>
      </c>
      <c r="C135" s="48">
        <v>202013</v>
      </c>
      <c r="D135" s="60" t="s">
        <v>262</v>
      </c>
      <c r="E135" s="60" t="s">
        <v>150</v>
      </c>
      <c r="F135" s="50">
        <f t="shared" si="46"/>
        <v>338</v>
      </c>
      <c r="G135" s="50"/>
      <c r="H135" s="50"/>
      <c r="I135" s="50">
        <f>320</f>
        <v>320</v>
      </c>
      <c r="J135" s="50">
        <v>16</v>
      </c>
      <c r="K135" s="50">
        <v>2</v>
      </c>
      <c r="L135" s="50"/>
      <c r="M135" s="50"/>
      <c r="N135" s="50">
        <v>213</v>
      </c>
      <c r="O135" s="50">
        <f t="shared" si="47"/>
        <v>551</v>
      </c>
      <c r="P135" s="51">
        <f t="shared" si="34"/>
        <v>5098.2582000000002</v>
      </c>
      <c r="Q135" s="51">
        <f t="shared" si="35"/>
        <v>4290.0962</v>
      </c>
      <c r="R135" s="47">
        <f t="shared" si="48"/>
        <v>1325467</v>
      </c>
      <c r="S135" s="61"/>
      <c r="T135" s="61">
        <f>1320487+4980</f>
        <v>1325467</v>
      </c>
      <c r="U135" s="47">
        <f t="shared" si="49"/>
        <v>1590.5604000000001</v>
      </c>
      <c r="V135" s="51">
        <f t="shared" si="2"/>
        <v>447.26400000000001</v>
      </c>
      <c r="W135" s="47">
        <f t="shared" si="50"/>
        <v>0</v>
      </c>
      <c r="X135" s="67">
        <v>294.74400000000003</v>
      </c>
      <c r="Y135" s="67">
        <v>152.52000000000001</v>
      </c>
      <c r="Z135" s="47"/>
      <c r="AA135" s="47"/>
      <c r="AB135" s="51">
        <f t="shared" si="64"/>
        <v>365.04</v>
      </c>
      <c r="AC135" s="47">
        <f t="shared" si="52"/>
        <v>0</v>
      </c>
      <c r="AD135" s="47"/>
      <c r="AE135" s="67">
        <f t="shared" ref="AE135:AE148" si="82">ROUND(AG135*3/2*12/10000,4)</f>
        <v>365.04</v>
      </c>
      <c r="AF135" s="47"/>
      <c r="AG135" s="64">
        <v>202800</v>
      </c>
      <c r="AH135" s="47"/>
      <c r="AI135" s="47">
        <f t="shared" si="54"/>
        <v>875.42</v>
      </c>
      <c r="AJ135" s="53">
        <f t="shared" si="81"/>
        <v>433.49450000000002</v>
      </c>
      <c r="AK135" s="53">
        <f t="shared" si="56"/>
        <v>4334945</v>
      </c>
      <c r="AL135" s="47"/>
      <c r="AM135" s="47">
        <f t="shared" si="78"/>
        <v>213.74080000000001</v>
      </c>
      <c r="AN135" s="47">
        <f t="shared" si="79"/>
        <v>201.4109</v>
      </c>
      <c r="AO135" s="47">
        <f t="shared" si="57"/>
        <v>2014109</v>
      </c>
      <c r="AP135" s="47">
        <f t="shared" si="38"/>
        <v>12.3299</v>
      </c>
      <c r="AQ135" s="47">
        <f t="shared" si="58"/>
        <v>123299</v>
      </c>
      <c r="AR135" s="47"/>
      <c r="AS135" s="47">
        <f t="shared" si="73"/>
        <v>39.4557</v>
      </c>
      <c r="AT135" s="47">
        <f t="shared" si="74"/>
        <v>22.1938</v>
      </c>
      <c r="AU135" s="47">
        <f t="shared" si="60"/>
        <v>221938</v>
      </c>
      <c r="AV135" s="47">
        <f t="shared" si="69"/>
        <v>17.261900000000001</v>
      </c>
      <c r="AW135" s="47">
        <f t="shared" si="61"/>
        <v>172619</v>
      </c>
      <c r="AX135" s="47">
        <f t="shared" si="80"/>
        <v>325.12079999999997</v>
      </c>
      <c r="AY135" s="47"/>
      <c r="AZ135" s="47"/>
      <c r="BA135" s="54">
        <v>1E-4</v>
      </c>
      <c r="BB135" s="65" t="s">
        <v>262</v>
      </c>
      <c r="BC135" s="51">
        <f t="shared" si="62"/>
        <v>369.64499999999998</v>
      </c>
      <c r="BD135" s="47"/>
      <c r="BE135" s="47">
        <f t="shared" si="63"/>
        <v>0</v>
      </c>
      <c r="BF135" s="47"/>
      <c r="BG135" s="56">
        <v>284.64499999999998</v>
      </c>
      <c r="BH135" s="47">
        <v>85</v>
      </c>
      <c r="BI135" s="51">
        <f t="shared" si="42"/>
        <v>438.517</v>
      </c>
      <c r="BJ135" s="51">
        <f t="shared" si="43"/>
        <v>0</v>
      </c>
      <c r="BK135" s="68"/>
      <c r="BL135" s="68"/>
      <c r="BM135" s="47"/>
      <c r="BN135" s="47"/>
      <c r="BO135" s="47"/>
      <c r="BP135" s="68">
        <v>40.692</v>
      </c>
      <c r="BQ135" s="47"/>
      <c r="BR135" s="47"/>
      <c r="BS135" s="76">
        <v>62.524999999999999</v>
      </c>
      <c r="BT135" s="47"/>
      <c r="BU135" s="47"/>
      <c r="BV135" s="47"/>
      <c r="BW135" s="76">
        <v>335.3</v>
      </c>
      <c r="BX135" s="47"/>
      <c r="BY135" s="47"/>
      <c r="BZ135" s="47"/>
      <c r="CA135" s="47"/>
      <c r="CB135" s="54">
        <f t="shared" si="44"/>
        <v>5098.2582000000002</v>
      </c>
      <c r="CC135" s="47"/>
      <c r="CD135" s="57"/>
      <c r="CE135" s="47"/>
      <c r="CF135" s="47">
        <f t="shared" ref="CF135:CF163" si="83">SUM(CB135:CE135)</f>
        <v>5098.2582000000002</v>
      </c>
    </row>
    <row r="136" spans="1:84" ht="14.25" customHeight="1">
      <c r="A136" s="47">
        <v>129</v>
      </c>
      <c r="B136" s="47" t="s">
        <v>129</v>
      </c>
      <c r="C136" s="48">
        <v>202014</v>
      </c>
      <c r="D136" s="60" t="s">
        <v>263</v>
      </c>
      <c r="E136" s="60" t="s">
        <v>150</v>
      </c>
      <c r="F136" s="50">
        <f t="shared" si="46"/>
        <v>294</v>
      </c>
      <c r="G136" s="50"/>
      <c r="H136" s="50"/>
      <c r="I136" s="50">
        <v>283</v>
      </c>
      <c r="J136" s="50">
        <v>9</v>
      </c>
      <c r="K136" s="50">
        <v>2</v>
      </c>
      <c r="L136" s="50"/>
      <c r="M136" s="50"/>
      <c r="N136" s="50">
        <v>198</v>
      </c>
      <c r="O136" s="50">
        <f t="shared" si="47"/>
        <v>492</v>
      </c>
      <c r="P136" s="51">
        <f t="shared" ref="P136:P159" si="84">Q136+BC136+BI136</f>
        <v>4432.4479000000001</v>
      </c>
      <c r="Q136" s="51">
        <f t="shared" ref="Q136:Q159" si="85">U136+V136+AB136+AH136+AI136+AJ136+AL136+AM136+AR136+AS136+AX136+AY136+AZ136</f>
        <v>3839.2719000000002</v>
      </c>
      <c r="R136" s="47">
        <f t="shared" si="48"/>
        <v>1214057</v>
      </c>
      <c r="S136" s="61"/>
      <c r="T136" s="61">
        <v>1214057</v>
      </c>
      <c r="U136" s="47">
        <f t="shared" si="49"/>
        <v>1456.8684000000001</v>
      </c>
      <c r="V136" s="51">
        <f t="shared" si="2"/>
        <v>395.28000000000003</v>
      </c>
      <c r="W136" s="47">
        <f t="shared" si="50"/>
        <v>0</v>
      </c>
      <c r="X136" s="67">
        <v>259.92</v>
      </c>
      <c r="Y136" s="47">
        <v>135.36000000000001</v>
      </c>
      <c r="Z136" s="56"/>
      <c r="AA136" s="47"/>
      <c r="AB136" s="51">
        <f t="shared" si="64"/>
        <v>317.52</v>
      </c>
      <c r="AC136" s="47">
        <f t="shared" si="52"/>
        <v>0</v>
      </c>
      <c r="AD136" s="47"/>
      <c r="AE136" s="67">
        <f t="shared" si="82"/>
        <v>317.52</v>
      </c>
      <c r="AF136" s="47"/>
      <c r="AG136" s="64">
        <v>176400</v>
      </c>
      <c r="AH136" s="47"/>
      <c r="AI136" s="47">
        <f t="shared" si="54"/>
        <v>761.46</v>
      </c>
      <c r="AJ136" s="53">
        <f t="shared" si="81"/>
        <v>388.80130000000003</v>
      </c>
      <c r="AK136" s="53">
        <f t="shared" si="56"/>
        <v>3888013.0000000005</v>
      </c>
      <c r="AL136" s="47"/>
      <c r="AM136" s="47">
        <f t="shared" si="78"/>
        <v>192.24789999999999</v>
      </c>
      <c r="AN136" s="47">
        <f t="shared" si="79"/>
        <v>181.15629999999999</v>
      </c>
      <c r="AO136" s="47">
        <f t="shared" si="57"/>
        <v>1811562.9999999998</v>
      </c>
      <c r="AP136" s="47">
        <f t="shared" ref="AP136:AP159" si="86">ROUND(((U136+W136+AI136)*0.005),4)</f>
        <v>11.0916</v>
      </c>
      <c r="AQ136" s="47">
        <f t="shared" si="58"/>
        <v>110916</v>
      </c>
      <c r="AR136" s="47"/>
      <c r="AS136" s="47">
        <f t="shared" si="73"/>
        <v>35.493299999999998</v>
      </c>
      <c r="AT136" s="47">
        <f t="shared" si="74"/>
        <v>19.965</v>
      </c>
      <c r="AU136" s="47">
        <f t="shared" si="60"/>
        <v>199650</v>
      </c>
      <c r="AV136" s="47">
        <f t="shared" si="69"/>
        <v>15.5283</v>
      </c>
      <c r="AW136" s="47">
        <f t="shared" si="61"/>
        <v>155283</v>
      </c>
      <c r="AX136" s="47">
        <f t="shared" si="80"/>
        <v>291.601</v>
      </c>
      <c r="AY136" s="47"/>
      <c r="AZ136" s="47"/>
      <c r="BA136" s="54">
        <v>1E-4</v>
      </c>
      <c r="BB136" s="65" t="s">
        <v>263</v>
      </c>
      <c r="BC136" s="51">
        <f t="shared" si="62"/>
        <v>275.05</v>
      </c>
      <c r="BD136" s="47"/>
      <c r="BE136" s="47">
        <f t="shared" si="63"/>
        <v>0</v>
      </c>
      <c r="BF136" s="47"/>
      <c r="BG136" s="56">
        <v>230.05</v>
      </c>
      <c r="BH136" s="47">
        <v>45</v>
      </c>
      <c r="BI136" s="51">
        <f t="shared" ref="BI136:BI159" si="87">BJ136+BN136+BO136+BP136+BQ136+BS136+BT136+BU136+BV136+BW136+BR136</f>
        <v>318.12599999999998</v>
      </c>
      <c r="BJ136" s="51">
        <f t="shared" ref="BJ136:BJ160" si="88">BL136+BM136+BK136</f>
        <v>0</v>
      </c>
      <c r="BK136" s="47"/>
      <c r="BL136" s="47"/>
      <c r="BM136" s="68"/>
      <c r="BN136" s="68"/>
      <c r="BO136" s="47"/>
      <c r="BP136" s="68">
        <v>13.176</v>
      </c>
      <c r="BQ136" s="47"/>
      <c r="BR136" s="47"/>
      <c r="BS136" s="76">
        <v>44.75</v>
      </c>
      <c r="BT136" s="47"/>
      <c r="BU136" s="47"/>
      <c r="BV136" s="47"/>
      <c r="BW136" s="76">
        <v>260.2</v>
      </c>
      <c r="BX136" s="47"/>
      <c r="BY136" s="47"/>
      <c r="BZ136" s="47"/>
      <c r="CA136" s="47"/>
      <c r="CB136" s="54">
        <f t="shared" ref="CB136:CB163" si="89">P136+BX136+BZ136+BY136+CA136</f>
        <v>4432.4479000000001</v>
      </c>
      <c r="CC136" s="47"/>
      <c r="CD136" s="57"/>
      <c r="CE136" s="47"/>
      <c r="CF136" s="47">
        <f t="shared" si="83"/>
        <v>4432.4479000000001</v>
      </c>
    </row>
    <row r="137" spans="1:84" ht="14.25" customHeight="1">
      <c r="A137" s="47">
        <v>130</v>
      </c>
      <c r="B137" s="47" t="s">
        <v>129</v>
      </c>
      <c r="C137" s="48">
        <v>202015</v>
      </c>
      <c r="D137" s="60" t="s">
        <v>264</v>
      </c>
      <c r="E137" s="60" t="s">
        <v>150</v>
      </c>
      <c r="F137" s="50">
        <f t="shared" ref="F137:F163" si="90">SUM(G137:K137)</f>
        <v>416</v>
      </c>
      <c r="G137" s="50"/>
      <c r="H137" s="50"/>
      <c r="I137" s="50">
        <f>385+13</f>
        <v>398</v>
      </c>
      <c r="J137" s="50">
        <v>7</v>
      </c>
      <c r="K137" s="50">
        <v>11</v>
      </c>
      <c r="L137" s="50"/>
      <c r="M137" s="50">
        <v>1</v>
      </c>
      <c r="N137" s="50">
        <v>225</v>
      </c>
      <c r="O137" s="50">
        <f t="shared" ref="O137:O163" si="91">F137+L137+M137+N137</f>
        <v>642</v>
      </c>
      <c r="P137" s="51">
        <f t="shared" si="84"/>
        <v>6375.3327000000008</v>
      </c>
      <c r="Q137" s="51">
        <f t="shared" si="85"/>
        <v>5041.1467000000002</v>
      </c>
      <c r="R137" s="47">
        <f t="shared" ref="R137:R163" si="92">S137+T137</f>
        <v>1496450</v>
      </c>
      <c r="S137" s="61"/>
      <c r="T137" s="61">
        <f>1470975+25475</f>
        <v>1496450</v>
      </c>
      <c r="U137" s="47">
        <f t="shared" ref="U137:U162" si="93">ROUND(R137*12/10000,5)</f>
        <v>1795.74</v>
      </c>
      <c r="V137" s="51">
        <f t="shared" si="2"/>
        <v>535.33199999999999</v>
      </c>
      <c r="W137" s="47">
        <f t="shared" ref="W137:W162" si="94">ROUND((G137+H137)*2.25,4)</f>
        <v>0</v>
      </c>
      <c r="X137" s="67">
        <v>342.43200000000002</v>
      </c>
      <c r="Y137" s="47">
        <v>192.9</v>
      </c>
      <c r="Z137" s="56"/>
      <c r="AA137" s="47"/>
      <c r="AB137" s="51">
        <f t="shared" si="64"/>
        <v>449.28</v>
      </c>
      <c r="AC137" s="47">
        <f t="shared" ref="AC137:AC163" si="95">ROUND(S137/10000,4)</f>
        <v>0</v>
      </c>
      <c r="AD137" s="47"/>
      <c r="AE137" s="67">
        <f t="shared" si="82"/>
        <v>449.28</v>
      </c>
      <c r="AF137" s="47"/>
      <c r="AG137" s="64">
        <v>249600</v>
      </c>
      <c r="AH137" s="47"/>
      <c r="AI137" s="47">
        <f t="shared" ref="AI137:AI162" si="96">ROUND(2.59*(I137+J137+K137),4)</f>
        <v>1077.44</v>
      </c>
      <c r="AJ137" s="53">
        <f t="shared" si="81"/>
        <v>507.63200000000001</v>
      </c>
      <c r="AK137" s="53">
        <f t="shared" ref="AK137:AK159" si="97">AJ137*10000</f>
        <v>5076320</v>
      </c>
      <c r="AL137" s="47"/>
      <c r="AM137" s="47">
        <f t="shared" si="78"/>
        <v>249.02780000000001</v>
      </c>
      <c r="AN137" s="47">
        <f t="shared" si="79"/>
        <v>234.6619</v>
      </c>
      <c r="AO137" s="47">
        <f t="shared" ref="AO137:AO159" si="98">AN137*10000</f>
        <v>2346619</v>
      </c>
      <c r="AP137" s="47">
        <f t="shared" si="86"/>
        <v>14.3659</v>
      </c>
      <c r="AQ137" s="47">
        <f t="shared" ref="AQ137:AQ159" si="99">AP137*10000</f>
        <v>143659</v>
      </c>
      <c r="AR137" s="47"/>
      <c r="AS137" s="47">
        <f t="shared" si="73"/>
        <v>45.9709</v>
      </c>
      <c r="AT137" s="47">
        <f t="shared" si="74"/>
        <v>25.858599999999999</v>
      </c>
      <c r="AU137" s="47">
        <f t="shared" ref="AU137:AU159" si="100">AT137*10000</f>
        <v>258586</v>
      </c>
      <c r="AV137" s="47">
        <f t="shared" si="69"/>
        <v>20.112300000000001</v>
      </c>
      <c r="AW137" s="47">
        <f t="shared" ref="AW137:AW159" si="101">AV137*10000</f>
        <v>201123</v>
      </c>
      <c r="AX137" s="47">
        <f t="shared" si="80"/>
        <v>380.72399999999999</v>
      </c>
      <c r="AY137" s="47"/>
      <c r="AZ137" s="47"/>
      <c r="BA137" s="54">
        <v>1E-4</v>
      </c>
      <c r="BB137" s="65" t="s">
        <v>264</v>
      </c>
      <c r="BC137" s="51">
        <f t="shared" ref="BC137:BC163" si="102">BD137+BE137+BG137+BH137</f>
        <v>576.05500000000006</v>
      </c>
      <c r="BD137" s="47"/>
      <c r="BE137" s="47">
        <f t="shared" ref="BE137:BE162" si="103">ROUND(BF137*12/10000,4)</f>
        <v>0</v>
      </c>
      <c r="BF137" s="47"/>
      <c r="BG137" s="56">
        <v>496.05500000000001</v>
      </c>
      <c r="BH137" s="47">
        <v>80</v>
      </c>
      <c r="BI137" s="51">
        <f t="shared" si="87"/>
        <v>758.13099999999997</v>
      </c>
      <c r="BJ137" s="51">
        <f t="shared" si="88"/>
        <v>4.3860000000000001</v>
      </c>
      <c r="BK137" s="47"/>
      <c r="BL137" s="47">
        <v>4.3860000000000001</v>
      </c>
      <c r="BM137" s="47"/>
      <c r="BN137" s="47"/>
      <c r="BO137" s="47"/>
      <c r="BP137" s="68">
        <v>26.47</v>
      </c>
      <c r="BQ137" s="47"/>
      <c r="BR137" s="47"/>
      <c r="BS137" s="76">
        <v>148.97499999999999</v>
      </c>
      <c r="BT137" s="47"/>
      <c r="BU137" s="47"/>
      <c r="BV137" s="47"/>
      <c r="BW137" s="76">
        <v>578.29999999999995</v>
      </c>
      <c r="BX137" s="47"/>
      <c r="BY137" s="47"/>
      <c r="BZ137" s="47"/>
      <c r="CA137" s="47"/>
      <c r="CB137" s="54">
        <f t="shared" si="89"/>
        <v>6375.3327000000008</v>
      </c>
      <c r="CC137" s="47"/>
      <c r="CD137" s="57"/>
      <c r="CE137" s="47"/>
      <c r="CF137" s="47">
        <f t="shared" si="83"/>
        <v>6375.3327000000008</v>
      </c>
    </row>
    <row r="138" spans="1:84" ht="14.25" customHeight="1">
      <c r="A138" s="47">
        <v>131</v>
      </c>
      <c r="B138" s="47" t="s">
        <v>129</v>
      </c>
      <c r="C138" s="48">
        <v>202016</v>
      </c>
      <c r="D138" s="60" t="s">
        <v>265</v>
      </c>
      <c r="E138" s="60" t="s">
        <v>150</v>
      </c>
      <c r="F138" s="50">
        <f t="shared" si="90"/>
        <v>147</v>
      </c>
      <c r="G138" s="50"/>
      <c r="H138" s="50"/>
      <c r="I138" s="50">
        <f>121+14</f>
        <v>135</v>
      </c>
      <c r="J138" s="50">
        <v>3</v>
      </c>
      <c r="K138" s="50">
        <v>9</v>
      </c>
      <c r="L138" s="50"/>
      <c r="M138" s="50"/>
      <c r="N138" s="50">
        <v>84</v>
      </c>
      <c r="O138" s="50">
        <f t="shared" si="91"/>
        <v>231</v>
      </c>
      <c r="P138" s="51">
        <f t="shared" si="84"/>
        <v>2080.7352000000001</v>
      </c>
      <c r="Q138" s="51">
        <f t="shared" si="85"/>
        <v>1695.0352</v>
      </c>
      <c r="R138" s="47">
        <f t="shared" si="92"/>
        <v>486758</v>
      </c>
      <c r="S138" s="61"/>
      <c r="T138" s="61">
        <f>459460+27298</f>
        <v>486758</v>
      </c>
      <c r="U138" s="47">
        <f t="shared" si="93"/>
        <v>584.1096</v>
      </c>
      <c r="V138" s="51">
        <f t="shared" si="2"/>
        <v>172.464</v>
      </c>
      <c r="W138" s="47">
        <f t="shared" si="94"/>
        <v>0</v>
      </c>
      <c r="X138" s="67">
        <v>114.624</v>
      </c>
      <c r="Y138" s="47">
        <v>57.84</v>
      </c>
      <c r="Z138" s="56"/>
      <c r="AA138" s="47"/>
      <c r="AB138" s="51">
        <f t="shared" si="64"/>
        <v>158.76</v>
      </c>
      <c r="AC138" s="47">
        <f t="shared" si="95"/>
        <v>0</v>
      </c>
      <c r="AD138" s="47"/>
      <c r="AE138" s="67">
        <f t="shared" si="82"/>
        <v>158.76</v>
      </c>
      <c r="AF138" s="47"/>
      <c r="AG138" s="64">
        <v>88200</v>
      </c>
      <c r="AH138" s="47"/>
      <c r="AI138" s="47">
        <f t="shared" si="96"/>
        <v>380.73</v>
      </c>
      <c r="AJ138" s="53">
        <f t="shared" si="81"/>
        <v>171.30869999999999</v>
      </c>
      <c r="AK138" s="53">
        <f t="shared" si="97"/>
        <v>1713086.9999999998</v>
      </c>
      <c r="AL138" s="47"/>
      <c r="AM138" s="47">
        <f t="shared" si="78"/>
        <v>83.743899999999996</v>
      </c>
      <c r="AN138" s="47">
        <f t="shared" si="79"/>
        <v>78.919700000000006</v>
      </c>
      <c r="AO138" s="47">
        <f t="shared" si="98"/>
        <v>789197.00000000012</v>
      </c>
      <c r="AP138" s="47">
        <f t="shared" si="86"/>
        <v>4.8242000000000003</v>
      </c>
      <c r="AQ138" s="47">
        <f t="shared" si="99"/>
        <v>48242</v>
      </c>
      <c r="AR138" s="47"/>
      <c r="AS138" s="47">
        <f t="shared" si="73"/>
        <v>15.4374</v>
      </c>
      <c r="AT138" s="47">
        <f t="shared" si="74"/>
        <v>8.6836000000000002</v>
      </c>
      <c r="AU138" s="47">
        <f t="shared" si="100"/>
        <v>86836</v>
      </c>
      <c r="AV138" s="47">
        <f t="shared" si="69"/>
        <v>6.7538999999999998</v>
      </c>
      <c r="AW138" s="47">
        <f t="shared" si="101"/>
        <v>67539</v>
      </c>
      <c r="AX138" s="47">
        <f t="shared" si="80"/>
        <v>128.48159999999999</v>
      </c>
      <c r="AY138" s="47"/>
      <c r="AZ138" s="47"/>
      <c r="BA138" s="54">
        <v>1E-4</v>
      </c>
      <c r="BB138" s="65" t="s">
        <v>265</v>
      </c>
      <c r="BC138" s="51">
        <f t="shared" si="102"/>
        <v>206.1</v>
      </c>
      <c r="BD138" s="47"/>
      <c r="BE138" s="47">
        <f t="shared" si="103"/>
        <v>0</v>
      </c>
      <c r="BF138" s="47"/>
      <c r="BG138" s="56">
        <v>128.1</v>
      </c>
      <c r="BH138" s="47">
        <v>78</v>
      </c>
      <c r="BI138" s="51">
        <f t="shared" si="87"/>
        <v>179.60000000000002</v>
      </c>
      <c r="BJ138" s="51">
        <f t="shared" si="88"/>
        <v>0</v>
      </c>
      <c r="BK138" s="68"/>
      <c r="BL138" s="68"/>
      <c r="BM138" s="47"/>
      <c r="BN138" s="47"/>
      <c r="BO138" s="47"/>
      <c r="BP138" s="68">
        <v>11.52</v>
      </c>
      <c r="BQ138" s="47"/>
      <c r="BR138" s="47"/>
      <c r="BS138" s="76">
        <v>34.68</v>
      </c>
      <c r="BT138" s="47"/>
      <c r="BU138" s="47"/>
      <c r="BV138" s="47"/>
      <c r="BW138" s="76">
        <v>133.4</v>
      </c>
      <c r="BX138" s="47"/>
      <c r="BY138" s="47"/>
      <c r="BZ138" s="47"/>
      <c r="CA138" s="47"/>
      <c r="CB138" s="54">
        <f t="shared" si="89"/>
        <v>2080.7352000000001</v>
      </c>
      <c r="CC138" s="47"/>
      <c r="CD138" s="57"/>
      <c r="CE138" s="47"/>
      <c r="CF138" s="47">
        <f t="shared" si="83"/>
        <v>2080.7352000000001</v>
      </c>
    </row>
    <row r="139" spans="1:84" ht="14.25" customHeight="1">
      <c r="A139" s="47">
        <v>132</v>
      </c>
      <c r="B139" s="47" t="s">
        <v>129</v>
      </c>
      <c r="C139" s="48">
        <v>202017</v>
      </c>
      <c r="D139" s="60" t="s">
        <v>266</v>
      </c>
      <c r="E139" s="60" t="s">
        <v>150</v>
      </c>
      <c r="F139" s="50">
        <f t="shared" si="90"/>
        <v>169</v>
      </c>
      <c r="G139" s="50"/>
      <c r="H139" s="50"/>
      <c r="I139" s="50">
        <f>151+8</f>
        <v>159</v>
      </c>
      <c r="J139" s="50">
        <v>2</v>
      </c>
      <c r="K139" s="50">
        <v>8</v>
      </c>
      <c r="L139" s="50"/>
      <c r="M139" s="50"/>
      <c r="N139" s="50">
        <v>84</v>
      </c>
      <c r="O139" s="50">
        <f t="shared" si="91"/>
        <v>253</v>
      </c>
      <c r="P139" s="51">
        <f t="shared" si="84"/>
        <v>2590.5945999999999</v>
      </c>
      <c r="Q139" s="51">
        <f t="shared" si="85"/>
        <v>2022.0589999999997</v>
      </c>
      <c r="R139" s="47">
        <f t="shared" si="92"/>
        <v>594645</v>
      </c>
      <c r="S139" s="61"/>
      <c r="T139" s="61">
        <f>579775+14870</f>
        <v>594645</v>
      </c>
      <c r="U139" s="47">
        <f t="shared" si="93"/>
        <v>713.57399999999996</v>
      </c>
      <c r="V139" s="51">
        <f t="shared" si="2"/>
        <v>213.64800000000002</v>
      </c>
      <c r="W139" s="47">
        <f t="shared" si="94"/>
        <v>0</v>
      </c>
      <c r="X139" s="67">
        <v>139.608</v>
      </c>
      <c r="Y139" s="47">
        <v>73.680000000000007</v>
      </c>
      <c r="Z139" s="56"/>
      <c r="AA139" s="47">
        <v>0.36</v>
      </c>
      <c r="AB139" s="51">
        <f t="shared" si="64"/>
        <v>182.52</v>
      </c>
      <c r="AC139" s="47">
        <f t="shared" si="95"/>
        <v>0</v>
      </c>
      <c r="AD139" s="47"/>
      <c r="AE139" s="67">
        <f t="shared" si="82"/>
        <v>182.52</v>
      </c>
      <c r="AF139" s="47"/>
      <c r="AG139" s="64">
        <v>101400</v>
      </c>
      <c r="AH139" s="47"/>
      <c r="AI139" s="47">
        <f t="shared" si="96"/>
        <v>437.71</v>
      </c>
      <c r="AJ139" s="53">
        <f t="shared" si="81"/>
        <v>203.67420000000001</v>
      </c>
      <c r="AK139" s="53">
        <f t="shared" si="97"/>
        <v>2036742.0000000002</v>
      </c>
      <c r="AL139" s="47"/>
      <c r="AM139" s="47">
        <f t="shared" si="78"/>
        <v>99.756600000000006</v>
      </c>
      <c r="AN139" s="47">
        <f t="shared" si="79"/>
        <v>94.000200000000007</v>
      </c>
      <c r="AO139" s="47">
        <f t="shared" si="98"/>
        <v>940002.00000000012</v>
      </c>
      <c r="AP139" s="47">
        <f t="shared" si="86"/>
        <v>5.7564000000000002</v>
      </c>
      <c r="AQ139" s="47">
        <f t="shared" si="99"/>
        <v>57564</v>
      </c>
      <c r="AR139" s="47"/>
      <c r="AS139" s="47">
        <f t="shared" si="73"/>
        <v>18.420500000000001</v>
      </c>
      <c r="AT139" s="47">
        <f t="shared" si="74"/>
        <v>10.361599999999999</v>
      </c>
      <c r="AU139" s="47">
        <f t="shared" si="100"/>
        <v>103615.99999999999</v>
      </c>
      <c r="AV139" s="47">
        <f t="shared" si="69"/>
        <v>8.0589999999999993</v>
      </c>
      <c r="AW139" s="47">
        <f t="shared" si="101"/>
        <v>80590</v>
      </c>
      <c r="AX139" s="47">
        <f t="shared" si="80"/>
        <v>152.75569999999999</v>
      </c>
      <c r="AY139" s="47"/>
      <c r="AZ139" s="47"/>
      <c r="BA139" s="54">
        <v>1E-4</v>
      </c>
      <c r="BB139" s="65" t="s">
        <v>266</v>
      </c>
      <c r="BC139" s="51">
        <f t="shared" si="102"/>
        <v>276.21500000000003</v>
      </c>
      <c r="BD139" s="47"/>
      <c r="BE139" s="47">
        <f t="shared" si="103"/>
        <v>0</v>
      </c>
      <c r="BF139" s="47"/>
      <c r="BG139" s="56">
        <v>213.215</v>
      </c>
      <c r="BH139" s="47">
        <v>63</v>
      </c>
      <c r="BI139" s="51">
        <f t="shared" si="87"/>
        <v>292.32060000000001</v>
      </c>
      <c r="BJ139" s="51">
        <f t="shared" si="88"/>
        <v>0</v>
      </c>
      <c r="BK139" s="47"/>
      <c r="BL139" s="47"/>
      <c r="BM139" s="47"/>
      <c r="BN139" s="47"/>
      <c r="BO139" s="47"/>
      <c r="BP139" s="68">
        <v>8.4155999999999995</v>
      </c>
      <c r="BQ139" s="47"/>
      <c r="BR139" s="47"/>
      <c r="BS139" s="76">
        <v>66.004999999999995</v>
      </c>
      <c r="BT139" s="47"/>
      <c r="BU139" s="47"/>
      <c r="BV139" s="47"/>
      <c r="BW139" s="76">
        <v>217.9</v>
      </c>
      <c r="BX139" s="47"/>
      <c r="BY139" s="47"/>
      <c r="BZ139" s="47"/>
      <c r="CA139" s="47"/>
      <c r="CB139" s="54">
        <f t="shared" si="89"/>
        <v>2590.5945999999999</v>
      </c>
      <c r="CC139" s="47"/>
      <c r="CD139" s="57"/>
      <c r="CE139" s="47"/>
      <c r="CF139" s="47">
        <f t="shared" si="83"/>
        <v>2590.5945999999999</v>
      </c>
    </row>
    <row r="140" spans="1:84" ht="14.25" customHeight="1">
      <c r="A140" s="47">
        <v>133</v>
      </c>
      <c r="B140" s="47" t="s">
        <v>129</v>
      </c>
      <c r="C140" s="48">
        <v>202018</v>
      </c>
      <c r="D140" s="60" t="s">
        <v>267</v>
      </c>
      <c r="E140" s="60" t="s">
        <v>150</v>
      </c>
      <c r="F140" s="50">
        <f t="shared" si="90"/>
        <v>244</v>
      </c>
      <c r="G140" s="50"/>
      <c r="H140" s="50"/>
      <c r="I140" s="50">
        <f>203+17</f>
        <v>220</v>
      </c>
      <c r="J140" s="50">
        <v>9</v>
      </c>
      <c r="K140" s="50">
        <v>15</v>
      </c>
      <c r="L140" s="50"/>
      <c r="M140" s="50"/>
      <c r="N140" s="50">
        <v>144</v>
      </c>
      <c r="O140" s="50">
        <f t="shared" si="91"/>
        <v>388</v>
      </c>
      <c r="P140" s="51">
        <f t="shared" si="84"/>
        <v>3476.8319000000001</v>
      </c>
      <c r="Q140" s="51">
        <f t="shared" si="85"/>
        <v>2899.9019000000003</v>
      </c>
      <c r="R140" s="47">
        <f t="shared" si="92"/>
        <v>842250</v>
      </c>
      <c r="S140" s="61"/>
      <c r="T140" s="61">
        <f>806927+35323</f>
        <v>842250</v>
      </c>
      <c r="U140" s="47">
        <f t="shared" si="93"/>
        <v>1010.7</v>
      </c>
      <c r="V140" s="51">
        <f t="shared" si="2"/>
        <v>315.76800000000003</v>
      </c>
      <c r="W140" s="47">
        <f t="shared" si="94"/>
        <v>0</v>
      </c>
      <c r="X140" s="67">
        <v>198.648</v>
      </c>
      <c r="Y140" s="47">
        <v>117.12</v>
      </c>
      <c r="Z140" s="56"/>
      <c r="AA140" s="47"/>
      <c r="AB140" s="51">
        <f t="shared" si="64"/>
        <v>263.52</v>
      </c>
      <c r="AC140" s="47">
        <f t="shared" si="95"/>
        <v>0</v>
      </c>
      <c r="AD140" s="47"/>
      <c r="AE140" s="67">
        <f t="shared" si="82"/>
        <v>263.52</v>
      </c>
      <c r="AF140" s="47"/>
      <c r="AG140" s="64">
        <v>146400</v>
      </c>
      <c r="AH140" s="47"/>
      <c r="AI140" s="47">
        <f t="shared" si="96"/>
        <v>631.96</v>
      </c>
      <c r="AJ140" s="53">
        <f t="shared" si="81"/>
        <v>290.93439999999998</v>
      </c>
      <c r="AK140" s="53">
        <f t="shared" si="97"/>
        <v>2909344</v>
      </c>
      <c r="AL140" s="47"/>
      <c r="AM140" s="47">
        <f t="shared" si="78"/>
        <v>142.5361</v>
      </c>
      <c r="AN140" s="47">
        <f t="shared" si="79"/>
        <v>134.3228</v>
      </c>
      <c r="AO140" s="47">
        <f t="shared" si="98"/>
        <v>1343228</v>
      </c>
      <c r="AP140" s="47">
        <f t="shared" si="86"/>
        <v>8.2133000000000003</v>
      </c>
      <c r="AQ140" s="47">
        <f t="shared" si="99"/>
        <v>82133</v>
      </c>
      <c r="AR140" s="47"/>
      <c r="AS140" s="47">
        <f t="shared" si="73"/>
        <v>26.282599999999999</v>
      </c>
      <c r="AT140" s="47">
        <f t="shared" si="74"/>
        <v>14.783899999999999</v>
      </c>
      <c r="AU140" s="47">
        <f t="shared" si="100"/>
        <v>147839</v>
      </c>
      <c r="AV140" s="47">
        <f t="shared" si="69"/>
        <v>11.4986</v>
      </c>
      <c r="AW140" s="47">
        <f t="shared" si="101"/>
        <v>114986</v>
      </c>
      <c r="AX140" s="47">
        <f t="shared" si="80"/>
        <v>218.20079999999999</v>
      </c>
      <c r="AY140" s="47"/>
      <c r="AZ140" s="47"/>
      <c r="BA140" s="54">
        <v>1E-4</v>
      </c>
      <c r="BB140" s="65" t="s">
        <v>267</v>
      </c>
      <c r="BC140" s="51">
        <f t="shared" si="102"/>
        <v>250.60499999999999</v>
      </c>
      <c r="BD140" s="47"/>
      <c r="BE140" s="47">
        <f t="shared" si="103"/>
        <v>0</v>
      </c>
      <c r="BF140" s="47"/>
      <c r="BG140" s="56">
        <v>232.60499999999999</v>
      </c>
      <c r="BH140" s="47">
        <v>18</v>
      </c>
      <c r="BI140" s="51">
        <f t="shared" si="87"/>
        <v>326.32499999999999</v>
      </c>
      <c r="BJ140" s="51">
        <f t="shared" si="88"/>
        <v>0</v>
      </c>
      <c r="BK140" s="47"/>
      <c r="BL140" s="47"/>
      <c r="BM140" s="47"/>
      <c r="BN140" s="47"/>
      <c r="BO140" s="47"/>
      <c r="BP140" s="68">
        <v>20.05</v>
      </c>
      <c r="BQ140" s="47"/>
      <c r="BR140" s="47"/>
      <c r="BS140" s="76">
        <v>57.575000000000003</v>
      </c>
      <c r="BT140" s="47"/>
      <c r="BU140" s="47"/>
      <c r="BV140" s="47"/>
      <c r="BW140" s="76">
        <v>248.7</v>
      </c>
      <c r="BX140" s="47"/>
      <c r="BY140" s="47"/>
      <c r="BZ140" s="47"/>
      <c r="CA140" s="47"/>
      <c r="CB140" s="54">
        <f t="shared" si="89"/>
        <v>3476.8319000000001</v>
      </c>
      <c r="CC140" s="47"/>
      <c r="CD140" s="57"/>
      <c r="CE140" s="47"/>
      <c r="CF140" s="47">
        <f t="shared" si="83"/>
        <v>3476.8319000000001</v>
      </c>
    </row>
    <row r="141" spans="1:84" ht="14.25" customHeight="1">
      <c r="A141" s="47">
        <v>134</v>
      </c>
      <c r="B141" s="47" t="s">
        <v>129</v>
      </c>
      <c r="C141" s="48">
        <v>202019</v>
      </c>
      <c r="D141" s="60" t="s">
        <v>268</v>
      </c>
      <c r="E141" s="60" t="s">
        <v>150</v>
      </c>
      <c r="F141" s="50">
        <f t="shared" si="90"/>
        <v>248</v>
      </c>
      <c r="G141" s="50"/>
      <c r="H141" s="50"/>
      <c r="I141" s="50">
        <f>216+19</f>
        <v>235</v>
      </c>
      <c r="J141" s="50">
        <v>6</v>
      </c>
      <c r="K141" s="50">
        <f>3+4</f>
        <v>7</v>
      </c>
      <c r="L141" s="50"/>
      <c r="M141" s="50"/>
      <c r="N141" s="50">
        <v>161</v>
      </c>
      <c r="O141" s="50">
        <f t="shared" si="91"/>
        <v>409</v>
      </c>
      <c r="P141" s="51">
        <f t="shared" si="84"/>
        <v>3650.7031999999995</v>
      </c>
      <c r="Q141" s="51">
        <f t="shared" si="85"/>
        <v>3020.5300999999995</v>
      </c>
      <c r="R141" s="47">
        <f t="shared" si="92"/>
        <v>907795</v>
      </c>
      <c r="S141" s="61"/>
      <c r="T141" s="61">
        <f>867141+40654</f>
        <v>907795</v>
      </c>
      <c r="U141" s="47">
        <f t="shared" si="93"/>
        <v>1089.354</v>
      </c>
      <c r="V141" s="51">
        <f t="shared" si="2"/>
        <v>308.18400000000003</v>
      </c>
      <c r="W141" s="47">
        <f t="shared" si="94"/>
        <v>0</v>
      </c>
      <c r="X141" s="67">
        <v>201.26400000000001</v>
      </c>
      <c r="Y141" s="47">
        <v>106.92</v>
      </c>
      <c r="Z141" s="56"/>
      <c r="AA141" s="47"/>
      <c r="AB141" s="51">
        <f t="shared" si="64"/>
        <v>267.83999999999997</v>
      </c>
      <c r="AC141" s="47">
        <f t="shared" si="95"/>
        <v>0</v>
      </c>
      <c r="AD141" s="47"/>
      <c r="AE141" s="67">
        <f t="shared" si="82"/>
        <v>267.83999999999997</v>
      </c>
      <c r="AF141" s="47"/>
      <c r="AG141" s="64">
        <v>148800</v>
      </c>
      <c r="AH141" s="47"/>
      <c r="AI141" s="47">
        <f t="shared" si="96"/>
        <v>642.32000000000005</v>
      </c>
      <c r="AJ141" s="53">
        <f t="shared" si="81"/>
        <v>305.63740000000001</v>
      </c>
      <c r="AK141" s="53">
        <f t="shared" si="97"/>
        <v>3056374</v>
      </c>
      <c r="AL141" s="47"/>
      <c r="AM141" s="47">
        <f t="shared" si="78"/>
        <v>150.25980000000001</v>
      </c>
      <c r="AN141" s="47">
        <f t="shared" si="79"/>
        <v>141.60140000000001</v>
      </c>
      <c r="AO141" s="47">
        <f t="shared" si="98"/>
        <v>1416014.0000000002</v>
      </c>
      <c r="AP141" s="47">
        <f t="shared" si="86"/>
        <v>8.6584000000000003</v>
      </c>
      <c r="AQ141" s="47">
        <f t="shared" si="99"/>
        <v>86584</v>
      </c>
      <c r="AR141" s="47"/>
      <c r="AS141" s="47">
        <f t="shared" si="73"/>
        <v>27.706800000000001</v>
      </c>
      <c r="AT141" s="47">
        <f t="shared" si="74"/>
        <v>15.585100000000001</v>
      </c>
      <c r="AU141" s="47">
        <f t="shared" si="100"/>
        <v>155851</v>
      </c>
      <c r="AV141" s="47">
        <f t="shared" si="69"/>
        <v>12.121700000000001</v>
      </c>
      <c r="AW141" s="47">
        <f t="shared" si="101"/>
        <v>121217</v>
      </c>
      <c r="AX141" s="47">
        <f t="shared" si="80"/>
        <v>229.22810000000001</v>
      </c>
      <c r="AY141" s="47"/>
      <c r="AZ141" s="47"/>
      <c r="BA141" s="54">
        <v>1E-4</v>
      </c>
      <c r="BB141" s="65" t="s">
        <v>268</v>
      </c>
      <c r="BC141" s="51">
        <f t="shared" si="102"/>
        <v>286.85000000000002</v>
      </c>
      <c r="BD141" s="47"/>
      <c r="BE141" s="47">
        <f t="shared" si="103"/>
        <v>0</v>
      </c>
      <c r="BF141" s="47"/>
      <c r="BG141" s="56">
        <v>241.85</v>
      </c>
      <c r="BH141" s="47">
        <v>45</v>
      </c>
      <c r="BI141" s="51">
        <f t="shared" si="87"/>
        <v>343.32309999999995</v>
      </c>
      <c r="BJ141" s="51">
        <f t="shared" si="88"/>
        <v>0</v>
      </c>
      <c r="BK141" s="68"/>
      <c r="BL141" s="68"/>
      <c r="BM141" s="47"/>
      <c r="BN141" s="47"/>
      <c r="BO141" s="47"/>
      <c r="BP141" s="68">
        <v>16.125599999999999</v>
      </c>
      <c r="BQ141" s="47"/>
      <c r="BR141" s="47"/>
      <c r="BS141" s="76">
        <f>50.235+1.5625</f>
        <v>51.797499999999999</v>
      </c>
      <c r="BT141" s="47"/>
      <c r="BU141" s="47"/>
      <c r="BV141" s="47"/>
      <c r="BW141" s="76">
        <v>275.39999999999998</v>
      </c>
      <c r="BX141" s="47"/>
      <c r="BY141" s="47"/>
      <c r="BZ141" s="47"/>
      <c r="CA141" s="47"/>
      <c r="CB141" s="54">
        <f t="shared" si="89"/>
        <v>3650.7031999999995</v>
      </c>
      <c r="CC141" s="47"/>
      <c r="CD141" s="57"/>
      <c r="CE141" s="47"/>
      <c r="CF141" s="47">
        <f t="shared" si="83"/>
        <v>3650.7031999999995</v>
      </c>
    </row>
    <row r="142" spans="1:84" ht="14.25" customHeight="1">
      <c r="A142" s="47">
        <v>135</v>
      </c>
      <c r="B142" s="47" t="s">
        <v>129</v>
      </c>
      <c r="C142" s="48">
        <v>202020</v>
      </c>
      <c r="D142" s="60" t="s">
        <v>269</v>
      </c>
      <c r="E142" s="60" t="s">
        <v>150</v>
      </c>
      <c r="F142" s="50">
        <f t="shared" si="90"/>
        <v>467</v>
      </c>
      <c r="G142" s="50"/>
      <c r="H142" s="50"/>
      <c r="I142" s="50">
        <f>415+21</f>
        <v>436</v>
      </c>
      <c r="J142" s="50">
        <v>8</v>
      </c>
      <c r="K142" s="50">
        <v>23</v>
      </c>
      <c r="L142" s="50"/>
      <c r="M142" s="50">
        <v>1</v>
      </c>
      <c r="N142" s="50">
        <v>369</v>
      </c>
      <c r="O142" s="50">
        <f t="shared" si="91"/>
        <v>837</v>
      </c>
      <c r="P142" s="51">
        <f t="shared" si="84"/>
        <v>7158.3068000000003</v>
      </c>
      <c r="Q142" s="51">
        <f t="shared" si="85"/>
        <v>5615.1391999999996</v>
      </c>
      <c r="R142" s="47">
        <f t="shared" si="92"/>
        <v>1665644</v>
      </c>
      <c r="S142" s="61"/>
      <c r="T142" s="61">
        <f>1581844+83800</f>
        <v>1665644</v>
      </c>
      <c r="U142" s="47">
        <f t="shared" si="93"/>
        <v>1998.7728</v>
      </c>
      <c r="V142" s="51">
        <f t="shared" si="2"/>
        <v>579.69600000000003</v>
      </c>
      <c r="W142" s="47">
        <f t="shared" si="94"/>
        <v>0</v>
      </c>
      <c r="X142" s="67">
        <v>380.01600000000002</v>
      </c>
      <c r="Y142" s="47">
        <v>199.68</v>
      </c>
      <c r="Z142" s="56"/>
      <c r="AA142" s="47"/>
      <c r="AB142" s="51">
        <f t="shared" si="64"/>
        <v>504.36</v>
      </c>
      <c r="AC142" s="47">
        <f t="shared" si="95"/>
        <v>0</v>
      </c>
      <c r="AD142" s="47"/>
      <c r="AE142" s="67">
        <f t="shared" si="82"/>
        <v>504.36</v>
      </c>
      <c r="AF142" s="47"/>
      <c r="AG142" s="64">
        <v>280200</v>
      </c>
      <c r="AH142" s="47"/>
      <c r="AI142" s="47">
        <f t="shared" si="96"/>
        <v>1209.53</v>
      </c>
      <c r="AJ142" s="53">
        <f t="shared" si="81"/>
        <v>567.1268</v>
      </c>
      <c r="AK142" s="53">
        <f t="shared" si="97"/>
        <v>5671268</v>
      </c>
      <c r="AL142" s="47"/>
      <c r="AM142" s="47">
        <f t="shared" si="78"/>
        <v>278.97570000000002</v>
      </c>
      <c r="AN142" s="47">
        <f t="shared" si="79"/>
        <v>262.93419999999998</v>
      </c>
      <c r="AO142" s="47">
        <f t="shared" si="98"/>
        <v>2629341.9999999995</v>
      </c>
      <c r="AP142" s="47">
        <f t="shared" si="86"/>
        <v>16.041499999999999</v>
      </c>
      <c r="AQ142" s="47">
        <f t="shared" si="99"/>
        <v>160415</v>
      </c>
      <c r="AR142" s="47"/>
      <c r="AS142" s="47">
        <f t="shared" si="73"/>
        <v>51.332799999999999</v>
      </c>
      <c r="AT142" s="47">
        <f t="shared" si="74"/>
        <v>28.874700000000001</v>
      </c>
      <c r="AU142" s="47">
        <f t="shared" si="100"/>
        <v>288747</v>
      </c>
      <c r="AV142" s="47">
        <f t="shared" si="69"/>
        <v>22.458100000000002</v>
      </c>
      <c r="AW142" s="47">
        <f t="shared" si="101"/>
        <v>224581.00000000003</v>
      </c>
      <c r="AX142" s="47">
        <f t="shared" si="80"/>
        <v>425.3451</v>
      </c>
      <c r="AY142" s="47"/>
      <c r="AZ142" s="47"/>
      <c r="BA142" s="54">
        <v>1E-4</v>
      </c>
      <c r="BB142" s="65" t="s">
        <v>269</v>
      </c>
      <c r="BC142" s="51">
        <f t="shared" si="102"/>
        <v>674.6</v>
      </c>
      <c r="BD142" s="47"/>
      <c r="BE142" s="47">
        <f t="shared" si="103"/>
        <v>0</v>
      </c>
      <c r="BF142" s="47"/>
      <c r="BG142" s="56">
        <v>546.20000000000005</v>
      </c>
      <c r="BH142" s="47">
        <v>128.4</v>
      </c>
      <c r="BI142" s="51">
        <f t="shared" si="87"/>
        <v>868.56759999999997</v>
      </c>
      <c r="BJ142" s="51">
        <f t="shared" si="88"/>
        <v>4.3860000000000001</v>
      </c>
      <c r="BK142" s="47"/>
      <c r="BL142" s="47">
        <v>4.3860000000000001</v>
      </c>
      <c r="BM142" s="47"/>
      <c r="BN142" s="47"/>
      <c r="BO142" s="47"/>
      <c r="BP142" s="68">
        <v>71.061599999999999</v>
      </c>
      <c r="BQ142" s="47"/>
      <c r="BR142" s="47"/>
      <c r="BS142" s="47">
        <v>161.72</v>
      </c>
      <c r="BT142" s="47"/>
      <c r="BU142" s="47"/>
      <c r="BV142" s="47"/>
      <c r="BW142" s="47">
        <v>631.4</v>
      </c>
      <c r="BX142" s="47"/>
      <c r="BY142" s="47"/>
      <c r="BZ142" s="47"/>
      <c r="CA142" s="47"/>
      <c r="CB142" s="54">
        <f t="shared" si="89"/>
        <v>7158.3068000000003</v>
      </c>
      <c r="CC142" s="47"/>
      <c r="CD142" s="57"/>
      <c r="CE142" s="47"/>
      <c r="CF142" s="47">
        <f t="shared" si="83"/>
        <v>7158.3068000000003</v>
      </c>
    </row>
    <row r="143" spans="1:84" ht="14.25" customHeight="1">
      <c r="A143" s="47">
        <v>136</v>
      </c>
      <c r="B143" s="47" t="s">
        <v>129</v>
      </c>
      <c r="C143" s="48">
        <v>202021</v>
      </c>
      <c r="D143" s="60" t="s">
        <v>270</v>
      </c>
      <c r="E143" s="60" t="s">
        <v>150</v>
      </c>
      <c r="F143" s="50">
        <f t="shared" si="90"/>
        <v>251</v>
      </c>
      <c r="G143" s="50"/>
      <c r="H143" s="50"/>
      <c r="I143" s="50">
        <f>208+13</f>
        <v>221</v>
      </c>
      <c r="J143" s="50">
        <v>6</v>
      </c>
      <c r="K143" s="50">
        <v>24</v>
      </c>
      <c r="L143" s="50"/>
      <c r="M143" s="50"/>
      <c r="N143" s="50">
        <v>107</v>
      </c>
      <c r="O143" s="50">
        <f t="shared" si="91"/>
        <v>358</v>
      </c>
      <c r="P143" s="51">
        <f t="shared" si="84"/>
        <v>3581.6515000000009</v>
      </c>
      <c r="Q143" s="51">
        <f t="shared" si="85"/>
        <v>2901.5290000000005</v>
      </c>
      <c r="R143" s="47">
        <f t="shared" si="92"/>
        <v>822252</v>
      </c>
      <c r="S143" s="61"/>
      <c r="T143" s="61">
        <f>793578+28674</f>
        <v>822252</v>
      </c>
      <c r="U143" s="47">
        <f t="shared" si="93"/>
        <v>986.70240000000001</v>
      </c>
      <c r="V143" s="51">
        <f t="shared" si="2"/>
        <v>316.75200000000001</v>
      </c>
      <c r="W143" s="47">
        <f t="shared" si="94"/>
        <v>0</v>
      </c>
      <c r="X143" s="67">
        <v>196.87200000000001</v>
      </c>
      <c r="Y143" s="47">
        <v>119.88</v>
      </c>
      <c r="Z143" s="56"/>
      <c r="AA143" s="47"/>
      <c r="AB143" s="51">
        <f t="shared" si="64"/>
        <v>271.08</v>
      </c>
      <c r="AC143" s="47">
        <f t="shared" si="95"/>
        <v>0</v>
      </c>
      <c r="AD143" s="47"/>
      <c r="AE143" s="67">
        <f t="shared" si="82"/>
        <v>271.08</v>
      </c>
      <c r="AF143" s="47"/>
      <c r="AG143" s="64">
        <v>150600</v>
      </c>
      <c r="AH143" s="47"/>
      <c r="AI143" s="47">
        <f t="shared" si="96"/>
        <v>650.09</v>
      </c>
      <c r="AJ143" s="53">
        <f t="shared" si="81"/>
        <v>290.80200000000002</v>
      </c>
      <c r="AK143" s="53">
        <f t="shared" si="97"/>
        <v>2908020</v>
      </c>
      <c r="AL143" s="47"/>
      <c r="AM143" s="47">
        <f t="shared" si="78"/>
        <v>141.8124</v>
      </c>
      <c r="AN143" s="47">
        <f t="shared" si="79"/>
        <v>133.6284</v>
      </c>
      <c r="AO143" s="47">
        <f t="shared" si="98"/>
        <v>1336284</v>
      </c>
      <c r="AP143" s="47">
        <f t="shared" si="86"/>
        <v>8.1839999999999993</v>
      </c>
      <c r="AQ143" s="47">
        <f t="shared" si="99"/>
        <v>81840</v>
      </c>
      <c r="AR143" s="47"/>
      <c r="AS143" s="47">
        <f t="shared" si="73"/>
        <v>26.188700000000001</v>
      </c>
      <c r="AT143" s="47">
        <f t="shared" si="74"/>
        <v>14.7311</v>
      </c>
      <c r="AU143" s="47">
        <f t="shared" si="100"/>
        <v>147311</v>
      </c>
      <c r="AV143" s="47">
        <f t="shared" si="69"/>
        <v>11.4575</v>
      </c>
      <c r="AW143" s="47">
        <f t="shared" si="101"/>
        <v>114575</v>
      </c>
      <c r="AX143" s="47">
        <f t="shared" si="80"/>
        <v>218.10149999999999</v>
      </c>
      <c r="AY143" s="47"/>
      <c r="AZ143" s="47"/>
      <c r="BA143" s="54">
        <v>1E-4</v>
      </c>
      <c r="BB143" s="65" t="s">
        <v>270</v>
      </c>
      <c r="BC143" s="51">
        <f t="shared" si="102"/>
        <v>286.96499999999997</v>
      </c>
      <c r="BD143" s="47"/>
      <c r="BE143" s="47">
        <f t="shared" si="103"/>
        <v>0</v>
      </c>
      <c r="BF143" s="47"/>
      <c r="BG143" s="56">
        <v>263.96499999999997</v>
      </c>
      <c r="BH143" s="47">
        <v>23</v>
      </c>
      <c r="BI143" s="51">
        <f t="shared" si="87"/>
        <v>393.15750000000003</v>
      </c>
      <c r="BJ143" s="51">
        <f t="shared" si="88"/>
        <v>0</v>
      </c>
      <c r="BK143" s="47"/>
      <c r="BL143" s="47"/>
      <c r="BM143" s="47"/>
      <c r="BN143" s="47"/>
      <c r="BO143" s="47"/>
      <c r="BP143" s="68">
        <v>13.95</v>
      </c>
      <c r="BQ143" s="47"/>
      <c r="BR143" s="47"/>
      <c r="BS143" s="76">
        <v>87.907499999999999</v>
      </c>
      <c r="BT143" s="47"/>
      <c r="BU143" s="47"/>
      <c r="BV143" s="47"/>
      <c r="BW143" s="76">
        <v>291.3</v>
      </c>
      <c r="BX143" s="47"/>
      <c r="BY143" s="47"/>
      <c r="BZ143" s="47"/>
      <c r="CA143" s="47"/>
      <c r="CB143" s="54">
        <f t="shared" si="89"/>
        <v>3581.6515000000009</v>
      </c>
      <c r="CC143" s="47"/>
      <c r="CD143" s="57"/>
      <c r="CE143" s="47"/>
      <c r="CF143" s="47">
        <f t="shared" si="83"/>
        <v>3581.6515000000009</v>
      </c>
    </row>
    <row r="144" spans="1:84" ht="14.25" customHeight="1">
      <c r="A144" s="47">
        <v>137</v>
      </c>
      <c r="B144" s="47" t="s">
        <v>129</v>
      </c>
      <c r="C144" s="48">
        <v>202022</v>
      </c>
      <c r="D144" s="60" t="s">
        <v>271</v>
      </c>
      <c r="E144" s="60" t="s">
        <v>150</v>
      </c>
      <c r="F144" s="50">
        <f t="shared" si="90"/>
        <v>414</v>
      </c>
      <c r="G144" s="50"/>
      <c r="H144" s="50"/>
      <c r="I144" s="50">
        <f>354+27</f>
        <v>381</v>
      </c>
      <c r="J144" s="50">
        <v>9</v>
      </c>
      <c r="K144" s="50">
        <v>24</v>
      </c>
      <c r="L144" s="50"/>
      <c r="M144" s="50"/>
      <c r="N144" s="50">
        <v>206</v>
      </c>
      <c r="O144" s="50">
        <f t="shared" si="91"/>
        <v>620</v>
      </c>
      <c r="P144" s="51">
        <f t="shared" si="84"/>
        <v>6039.8778999999995</v>
      </c>
      <c r="Q144" s="51">
        <f t="shared" si="85"/>
        <v>4867.1929999999993</v>
      </c>
      <c r="R144" s="47">
        <f t="shared" si="92"/>
        <v>1386991</v>
      </c>
      <c r="S144" s="61"/>
      <c r="T144" s="61">
        <v>1386991</v>
      </c>
      <c r="U144" s="47">
        <f t="shared" si="93"/>
        <v>1664.3892000000001</v>
      </c>
      <c r="V144" s="51">
        <f t="shared" si="2"/>
        <v>552.64800000000002</v>
      </c>
      <c r="W144" s="47">
        <f t="shared" si="94"/>
        <v>0</v>
      </c>
      <c r="X144" s="67">
        <v>328.608</v>
      </c>
      <c r="Y144" s="47">
        <v>224.04</v>
      </c>
      <c r="Z144" s="56"/>
      <c r="AA144" s="47"/>
      <c r="AB144" s="51">
        <f t="shared" si="64"/>
        <v>447.12</v>
      </c>
      <c r="AC144" s="47">
        <f t="shared" si="95"/>
        <v>0</v>
      </c>
      <c r="AD144" s="47"/>
      <c r="AE144" s="67">
        <f t="shared" si="82"/>
        <v>447.12</v>
      </c>
      <c r="AF144" s="47"/>
      <c r="AG144" s="64">
        <v>248400</v>
      </c>
      <c r="AH144" s="47"/>
      <c r="AI144" s="47">
        <f t="shared" si="96"/>
        <v>1072.26</v>
      </c>
      <c r="AJ144" s="53">
        <f t="shared" si="81"/>
        <v>485.55669999999998</v>
      </c>
      <c r="AK144" s="53">
        <f t="shared" si="97"/>
        <v>4855567</v>
      </c>
      <c r="AL144" s="47"/>
      <c r="AM144" s="47">
        <f t="shared" si="78"/>
        <v>237.26519999999999</v>
      </c>
      <c r="AN144" s="47">
        <f t="shared" si="79"/>
        <v>223.58189999999999</v>
      </c>
      <c r="AO144" s="47">
        <f t="shared" si="98"/>
        <v>2235819</v>
      </c>
      <c r="AP144" s="47">
        <f t="shared" si="86"/>
        <v>13.683199999999999</v>
      </c>
      <c r="AQ144" s="47">
        <f t="shared" si="99"/>
        <v>136832</v>
      </c>
      <c r="AR144" s="47"/>
      <c r="AS144" s="47">
        <f t="shared" si="73"/>
        <v>43.7864</v>
      </c>
      <c r="AT144" s="47">
        <f t="shared" si="74"/>
        <v>24.629799999999999</v>
      </c>
      <c r="AU144" s="47">
        <f t="shared" si="100"/>
        <v>246298</v>
      </c>
      <c r="AV144" s="47">
        <f t="shared" si="69"/>
        <v>19.156500000000001</v>
      </c>
      <c r="AW144" s="47">
        <f t="shared" si="101"/>
        <v>191565</v>
      </c>
      <c r="AX144" s="47">
        <f t="shared" si="80"/>
        <v>364.16750000000002</v>
      </c>
      <c r="AY144" s="47"/>
      <c r="AZ144" s="47"/>
      <c r="BA144" s="54">
        <v>1E-4</v>
      </c>
      <c r="BB144" s="65" t="s">
        <v>271</v>
      </c>
      <c r="BC144" s="51">
        <f t="shared" si="102"/>
        <v>521.05500000000006</v>
      </c>
      <c r="BD144" s="47"/>
      <c r="BE144" s="47">
        <f t="shared" si="103"/>
        <v>0</v>
      </c>
      <c r="BF144" s="47"/>
      <c r="BG144" s="56">
        <v>431.05500000000001</v>
      </c>
      <c r="BH144" s="47">
        <v>90</v>
      </c>
      <c r="BI144" s="51">
        <f t="shared" si="87"/>
        <v>651.62990000000002</v>
      </c>
      <c r="BJ144" s="51">
        <f t="shared" si="88"/>
        <v>0</v>
      </c>
      <c r="BK144" s="47"/>
      <c r="BL144" s="47"/>
      <c r="BM144" s="47"/>
      <c r="BN144" s="47"/>
      <c r="BO144" s="47"/>
      <c r="BP144" s="68">
        <v>29.342400000000001</v>
      </c>
      <c r="BQ144" s="47"/>
      <c r="BR144" s="47"/>
      <c r="BS144" s="76">
        <v>125.9875</v>
      </c>
      <c r="BT144" s="47"/>
      <c r="BU144" s="47"/>
      <c r="BV144" s="47"/>
      <c r="BW144" s="76">
        <v>496.3</v>
      </c>
      <c r="BX144" s="47"/>
      <c r="BY144" s="47"/>
      <c r="BZ144" s="47"/>
      <c r="CA144" s="47"/>
      <c r="CB144" s="54">
        <f t="shared" si="89"/>
        <v>6039.8778999999995</v>
      </c>
      <c r="CC144" s="47"/>
      <c r="CD144" s="57"/>
      <c r="CE144" s="47"/>
      <c r="CF144" s="47">
        <f t="shared" si="83"/>
        <v>6039.8778999999995</v>
      </c>
    </row>
    <row r="145" spans="1:84" ht="14.25" customHeight="1">
      <c r="A145" s="47">
        <v>138</v>
      </c>
      <c r="B145" s="47" t="s">
        <v>129</v>
      </c>
      <c r="C145" s="48">
        <v>202023</v>
      </c>
      <c r="D145" s="60" t="s">
        <v>272</v>
      </c>
      <c r="E145" s="60" t="s">
        <v>150</v>
      </c>
      <c r="F145" s="50">
        <f t="shared" si="90"/>
        <v>210</v>
      </c>
      <c r="G145" s="50"/>
      <c r="H145" s="50"/>
      <c r="I145" s="50">
        <f>185+16</f>
        <v>201</v>
      </c>
      <c r="J145" s="50">
        <v>2</v>
      </c>
      <c r="K145" s="50">
        <v>7</v>
      </c>
      <c r="L145" s="50"/>
      <c r="M145" s="50"/>
      <c r="N145" s="50">
        <v>92</v>
      </c>
      <c r="O145" s="50">
        <f t="shared" si="91"/>
        <v>302</v>
      </c>
      <c r="P145" s="51">
        <f t="shared" si="84"/>
        <v>3057.0077999999994</v>
      </c>
      <c r="Q145" s="51">
        <f t="shared" si="85"/>
        <v>2485.5212999999994</v>
      </c>
      <c r="R145" s="47">
        <f t="shared" si="92"/>
        <v>715063</v>
      </c>
      <c r="S145" s="61"/>
      <c r="T145" s="61">
        <f>684933+30130</f>
        <v>715063</v>
      </c>
      <c r="U145" s="47">
        <f t="shared" si="93"/>
        <v>858.07560000000001</v>
      </c>
      <c r="V145" s="51">
        <f t="shared" si="2"/>
        <v>277.99199999999996</v>
      </c>
      <c r="W145" s="47">
        <f t="shared" si="94"/>
        <v>0</v>
      </c>
      <c r="X145" s="67">
        <v>169.27199999999999</v>
      </c>
      <c r="Y145" s="67">
        <v>108.72</v>
      </c>
      <c r="Z145" s="47"/>
      <c r="AA145" s="47"/>
      <c r="AB145" s="51">
        <f t="shared" si="64"/>
        <v>226.8</v>
      </c>
      <c r="AC145" s="47">
        <f t="shared" si="95"/>
        <v>0</v>
      </c>
      <c r="AD145" s="47"/>
      <c r="AE145" s="67">
        <f t="shared" si="82"/>
        <v>226.8</v>
      </c>
      <c r="AF145" s="47"/>
      <c r="AG145" s="64">
        <v>126000</v>
      </c>
      <c r="AH145" s="47"/>
      <c r="AI145" s="47">
        <f t="shared" si="96"/>
        <v>543.9</v>
      </c>
      <c r="AJ145" s="53">
        <f t="shared" si="81"/>
        <v>248.50810000000001</v>
      </c>
      <c r="AK145" s="53">
        <f t="shared" si="97"/>
        <v>2485081</v>
      </c>
      <c r="AL145" s="47"/>
      <c r="AM145" s="47">
        <f t="shared" si="78"/>
        <v>121.4329</v>
      </c>
      <c r="AN145" s="47">
        <f t="shared" si="79"/>
        <v>114.423</v>
      </c>
      <c r="AO145" s="47">
        <f t="shared" si="98"/>
        <v>1144230</v>
      </c>
      <c r="AP145" s="47">
        <f t="shared" si="86"/>
        <v>7.0099</v>
      </c>
      <c r="AQ145" s="47">
        <f t="shared" si="99"/>
        <v>70099</v>
      </c>
      <c r="AR145" s="47"/>
      <c r="AS145" s="47">
        <f t="shared" si="73"/>
        <v>22.4316</v>
      </c>
      <c r="AT145" s="47">
        <f t="shared" si="74"/>
        <v>12.617800000000001</v>
      </c>
      <c r="AU145" s="47">
        <f t="shared" si="100"/>
        <v>126178.00000000001</v>
      </c>
      <c r="AV145" s="47">
        <f t="shared" si="69"/>
        <v>9.8138000000000005</v>
      </c>
      <c r="AW145" s="47">
        <f t="shared" si="101"/>
        <v>98138</v>
      </c>
      <c r="AX145" s="47">
        <f t="shared" si="80"/>
        <v>186.3811</v>
      </c>
      <c r="AY145" s="47"/>
      <c r="AZ145" s="47"/>
      <c r="BA145" s="54">
        <v>1E-4</v>
      </c>
      <c r="BB145" s="65" t="s">
        <v>272</v>
      </c>
      <c r="BC145" s="51">
        <f t="shared" si="102"/>
        <v>236.86</v>
      </c>
      <c r="BD145" s="47"/>
      <c r="BE145" s="47">
        <f t="shared" si="103"/>
        <v>0</v>
      </c>
      <c r="BF145" s="47"/>
      <c r="BG145" s="56">
        <v>236.86</v>
      </c>
      <c r="BH145" s="47"/>
      <c r="BI145" s="51">
        <f t="shared" si="87"/>
        <v>334.62650000000002</v>
      </c>
      <c r="BJ145" s="51">
        <f t="shared" si="88"/>
        <v>0</v>
      </c>
      <c r="BK145" s="47"/>
      <c r="BL145" s="47"/>
      <c r="BM145" s="47"/>
      <c r="BN145" s="47"/>
      <c r="BO145" s="47"/>
      <c r="BP145" s="68">
        <v>8.0640000000000001</v>
      </c>
      <c r="BQ145" s="47"/>
      <c r="BR145" s="47"/>
      <c r="BS145" s="76">
        <v>55.5625</v>
      </c>
      <c r="BT145" s="47"/>
      <c r="BU145" s="47"/>
      <c r="BV145" s="47"/>
      <c r="BW145" s="76">
        <v>271</v>
      </c>
      <c r="BX145" s="47"/>
      <c r="BY145" s="47"/>
      <c r="BZ145" s="47"/>
      <c r="CA145" s="47"/>
      <c r="CB145" s="54">
        <f t="shared" si="89"/>
        <v>3057.0077999999994</v>
      </c>
      <c r="CC145" s="47"/>
      <c r="CD145" s="57"/>
      <c r="CE145" s="47"/>
      <c r="CF145" s="47">
        <f t="shared" si="83"/>
        <v>3057.0077999999994</v>
      </c>
    </row>
    <row r="146" spans="1:84" ht="14.25" customHeight="1">
      <c r="A146" s="47">
        <v>139</v>
      </c>
      <c r="B146" s="47" t="s">
        <v>129</v>
      </c>
      <c r="C146" s="48">
        <v>202024</v>
      </c>
      <c r="D146" s="71" t="s">
        <v>273</v>
      </c>
      <c r="E146" s="60" t="s">
        <v>150</v>
      </c>
      <c r="F146" s="50">
        <f t="shared" si="90"/>
        <v>426</v>
      </c>
      <c r="G146" s="50"/>
      <c r="H146" s="50"/>
      <c r="I146" s="50">
        <f>363+25</f>
        <v>388</v>
      </c>
      <c r="J146" s="50">
        <v>6</v>
      </c>
      <c r="K146" s="50">
        <v>32</v>
      </c>
      <c r="L146" s="50"/>
      <c r="M146" s="50"/>
      <c r="N146" s="50">
        <v>171</v>
      </c>
      <c r="O146" s="50">
        <f t="shared" si="91"/>
        <v>597</v>
      </c>
      <c r="P146" s="51">
        <f t="shared" si="84"/>
        <v>6063.4456999999993</v>
      </c>
      <c r="Q146" s="51">
        <f t="shared" si="85"/>
        <v>4942.8596999999991</v>
      </c>
      <c r="R146" s="47">
        <f t="shared" si="92"/>
        <v>1394953</v>
      </c>
      <c r="S146" s="61"/>
      <c r="T146" s="61">
        <f>1342194+52759</f>
        <v>1394953</v>
      </c>
      <c r="U146" s="47">
        <f t="shared" si="93"/>
        <v>1673.9436000000001</v>
      </c>
      <c r="V146" s="51">
        <f t="shared" si="2"/>
        <v>556.99199999999996</v>
      </c>
      <c r="W146" s="47">
        <f t="shared" si="94"/>
        <v>0</v>
      </c>
      <c r="X146" s="67">
        <v>335.23200000000003</v>
      </c>
      <c r="Y146" s="67">
        <v>221.76</v>
      </c>
      <c r="Z146" s="47"/>
      <c r="AA146" s="47"/>
      <c r="AB146" s="51">
        <f t="shared" si="64"/>
        <v>460.08</v>
      </c>
      <c r="AC146" s="47">
        <f t="shared" si="95"/>
        <v>0</v>
      </c>
      <c r="AD146" s="47"/>
      <c r="AE146" s="67">
        <f t="shared" si="82"/>
        <v>460.08</v>
      </c>
      <c r="AF146" s="47"/>
      <c r="AG146" s="64">
        <v>255600</v>
      </c>
      <c r="AH146" s="47"/>
      <c r="AI146" s="47">
        <f t="shared" si="96"/>
        <v>1103.3399999999999</v>
      </c>
      <c r="AJ146" s="53">
        <f t="shared" si="81"/>
        <v>493.44060000000002</v>
      </c>
      <c r="AK146" s="53">
        <f t="shared" si="97"/>
        <v>4934406</v>
      </c>
      <c r="AL146" s="47"/>
      <c r="AM146" s="47">
        <f t="shared" si="78"/>
        <v>240.54660000000001</v>
      </c>
      <c r="AN146" s="47">
        <f t="shared" si="79"/>
        <v>226.6602</v>
      </c>
      <c r="AO146" s="47">
        <f t="shared" si="98"/>
        <v>2266602</v>
      </c>
      <c r="AP146" s="47">
        <f t="shared" si="86"/>
        <v>13.8864</v>
      </c>
      <c r="AQ146" s="47">
        <f t="shared" si="99"/>
        <v>138864</v>
      </c>
      <c r="AR146" s="47"/>
      <c r="AS146" s="47">
        <f t="shared" si="73"/>
        <v>44.436500000000002</v>
      </c>
      <c r="AT146" s="47">
        <f t="shared" si="74"/>
        <v>24.9956</v>
      </c>
      <c r="AU146" s="47">
        <f t="shared" si="100"/>
        <v>249956</v>
      </c>
      <c r="AV146" s="47">
        <f t="shared" si="69"/>
        <v>19.440999999999999</v>
      </c>
      <c r="AW146" s="47">
        <f t="shared" si="101"/>
        <v>194410</v>
      </c>
      <c r="AX146" s="47">
        <f t="shared" si="80"/>
        <v>370.0804</v>
      </c>
      <c r="AY146" s="47"/>
      <c r="AZ146" s="47"/>
      <c r="BA146" s="54">
        <v>1E-4</v>
      </c>
      <c r="BB146" s="74" t="s">
        <v>273</v>
      </c>
      <c r="BC146" s="51">
        <f t="shared" si="102"/>
        <v>499.84500000000003</v>
      </c>
      <c r="BD146" s="47"/>
      <c r="BE146" s="47">
        <f t="shared" si="103"/>
        <v>0</v>
      </c>
      <c r="BF146" s="47"/>
      <c r="BG146" s="56">
        <v>429.84500000000003</v>
      </c>
      <c r="BH146" s="47">
        <v>70</v>
      </c>
      <c r="BI146" s="51">
        <f t="shared" si="87"/>
        <v>620.74099999999999</v>
      </c>
      <c r="BJ146" s="51">
        <f t="shared" si="88"/>
        <v>0</v>
      </c>
      <c r="BK146" s="47"/>
      <c r="BL146" s="47"/>
      <c r="BM146" s="47"/>
      <c r="BN146" s="47"/>
      <c r="BO146" s="47"/>
      <c r="BP146" s="68">
        <v>27.216000000000001</v>
      </c>
      <c r="BQ146" s="47"/>
      <c r="BR146" s="47"/>
      <c r="BS146" s="76">
        <v>105.825</v>
      </c>
      <c r="BT146" s="47"/>
      <c r="BU146" s="47"/>
      <c r="BV146" s="47"/>
      <c r="BW146" s="76">
        <v>487.7</v>
      </c>
      <c r="BX146" s="47"/>
      <c r="BY146" s="47"/>
      <c r="BZ146" s="47"/>
      <c r="CA146" s="47"/>
      <c r="CB146" s="54">
        <f t="shared" si="89"/>
        <v>6063.4456999999993</v>
      </c>
      <c r="CC146" s="47"/>
      <c r="CD146" s="57"/>
      <c r="CE146" s="47"/>
      <c r="CF146" s="47">
        <f t="shared" si="83"/>
        <v>6063.4456999999993</v>
      </c>
    </row>
    <row r="147" spans="1:84" ht="14.25" customHeight="1">
      <c r="A147" s="47">
        <v>140</v>
      </c>
      <c r="B147" s="47" t="s">
        <v>129</v>
      </c>
      <c r="C147" s="48">
        <v>202025</v>
      </c>
      <c r="D147" s="60" t="s">
        <v>274</v>
      </c>
      <c r="E147" s="60" t="s">
        <v>150</v>
      </c>
      <c r="F147" s="50">
        <f t="shared" si="90"/>
        <v>256</v>
      </c>
      <c r="G147" s="50"/>
      <c r="H147" s="50"/>
      <c r="I147" s="50">
        <f>222+17</f>
        <v>239</v>
      </c>
      <c r="J147" s="50">
        <v>6</v>
      </c>
      <c r="K147" s="50">
        <v>11</v>
      </c>
      <c r="L147" s="50"/>
      <c r="M147" s="50"/>
      <c r="N147" s="50">
        <v>197</v>
      </c>
      <c r="O147" s="50">
        <f t="shared" si="91"/>
        <v>453</v>
      </c>
      <c r="P147" s="51">
        <f t="shared" si="84"/>
        <v>3762.3170999999998</v>
      </c>
      <c r="Q147" s="51">
        <f t="shared" si="85"/>
        <v>3115.6915999999997</v>
      </c>
      <c r="R147" s="47">
        <f t="shared" si="92"/>
        <v>927590</v>
      </c>
      <c r="S147" s="61"/>
      <c r="T147" s="61">
        <v>927590</v>
      </c>
      <c r="U147" s="47">
        <f t="shared" si="93"/>
        <v>1113.1079999999999</v>
      </c>
      <c r="V147" s="51">
        <f t="shared" si="2"/>
        <v>331.34399999999999</v>
      </c>
      <c r="W147" s="47">
        <f t="shared" si="94"/>
        <v>0</v>
      </c>
      <c r="X147" s="67">
        <v>209.06399999999999</v>
      </c>
      <c r="Y147" s="67">
        <v>122.28</v>
      </c>
      <c r="Z147" s="47"/>
      <c r="AA147" s="47"/>
      <c r="AB147" s="51">
        <f t="shared" si="64"/>
        <v>276.48</v>
      </c>
      <c r="AC147" s="47">
        <f t="shared" si="95"/>
        <v>0</v>
      </c>
      <c r="AD147" s="47"/>
      <c r="AE147" s="67">
        <f t="shared" si="82"/>
        <v>276.48</v>
      </c>
      <c r="AF147" s="47"/>
      <c r="AG147" s="64">
        <v>153600</v>
      </c>
      <c r="AH147" s="47"/>
      <c r="AI147" s="47">
        <f t="shared" si="96"/>
        <v>663.04</v>
      </c>
      <c r="AJ147" s="53">
        <f t="shared" si="81"/>
        <v>313.67489999999998</v>
      </c>
      <c r="AK147" s="53">
        <f t="shared" si="97"/>
        <v>3136749</v>
      </c>
      <c r="AL147" s="47"/>
      <c r="AM147" s="47">
        <f t="shared" si="78"/>
        <v>154.37010000000001</v>
      </c>
      <c r="AN147" s="47">
        <f t="shared" si="79"/>
        <v>145.48929999999999</v>
      </c>
      <c r="AO147" s="47">
        <f t="shared" si="98"/>
        <v>1454892.9999999998</v>
      </c>
      <c r="AP147" s="47">
        <f t="shared" si="86"/>
        <v>8.8806999999999992</v>
      </c>
      <c r="AQ147" s="47">
        <f t="shared" si="99"/>
        <v>88806.999999999985</v>
      </c>
      <c r="AR147" s="47"/>
      <c r="AS147" s="47">
        <f t="shared" si="73"/>
        <v>28.418399999999998</v>
      </c>
      <c r="AT147" s="47">
        <f t="shared" si="74"/>
        <v>15.985300000000001</v>
      </c>
      <c r="AU147" s="47">
        <f t="shared" si="100"/>
        <v>159853</v>
      </c>
      <c r="AV147" s="47">
        <f t="shared" si="69"/>
        <v>12.433</v>
      </c>
      <c r="AW147" s="47">
        <f t="shared" si="101"/>
        <v>124330</v>
      </c>
      <c r="AX147" s="47">
        <f t="shared" si="80"/>
        <v>235.25620000000001</v>
      </c>
      <c r="AY147" s="47"/>
      <c r="AZ147" s="47"/>
      <c r="BA147" s="54">
        <v>1E-4</v>
      </c>
      <c r="BB147" s="65" t="s">
        <v>274</v>
      </c>
      <c r="BC147" s="51">
        <f t="shared" si="102"/>
        <v>283.89999999999998</v>
      </c>
      <c r="BD147" s="47"/>
      <c r="BE147" s="47">
        <f t="shared" si="103"/>
        <v>0</v>
      </c>
      <c r="BF147" s="47"/>
      <c r="BG147" s="56">
        <v>233.9</v>
      </c>
      <c r="BH147" s="47">
        <v>50</v>
      </c>
      <c r="BI147" s="51">
        <f t="shared" si="87"/>
        <v>362.72550000000001</v>
      </c>
      <c r="BJ147" s="51">
        <f t="shared" si="88"/>
        <v>0</v>
      </c>
      <c r="BK147" s="47"/>
      <c r="BL147" s="47"/>
      <c r="BM147" s="47"/>
      <c r="BN147" s="47"/>
      <c r="BO147" s="47"/>
      <c r="BP147" s="68">
        <v>36.287999999999997</v>
      </c>
      <c r="BQ147" s="47"/>
      <c r="BR147" s="47"/>
      <c r="BS147" s="76">
        <v>66.237499999999997</v>
      </c>
      <c r="BT147" s="47"/>
      <c r="BU147" s="47"/>
      <c r="BV147" s="47"/>
      <c r="BW147" s="76">
        <v>260.2</v>
      </c>
      <c r="BX147" s="47"/>
      <c r="BY147" s="47"/>
      <c r="BZ147" s="47"/>
      <c r="CA147" s="47"/>
      <c r="CB147" s="54">
        <f t="shared" si="89"/>
        <v>3762.3170999999998</v>
      </c>
      <c r="CC147" s="47"/>
      <c r="CD147" s="57"/>
      <c r="CE147" s="47"/>
      <c r="CF147" s="47">
        <f t="shared" si="83"/>
        <v>3762.3170999999998</v>
      </c>
    </row>
    <row r="148" spans="1:84" ht="14.25" customHeight="1">
      <c r="A148" s="47">
        <v>141</v>
      </c>
      <c r="B148" s="47" t="s">
        <v>129</v>
      </c>
      <c r="C148" s="48">
        <v>202026</v>
      </c>
      <c r="D148" s="60" t="s">
        <v>275</v>
      </c>
      <c r="E148" s="60" t="s">
        <v>150</v>
      </c>
      <c r="F148" s="50">
        <f t="shared" si="90"/>
        <v>381</v>
      </c>
      <c r="G148" s="50"/>
      <c r="H148" s="50"/>
      <c r="I148" s="50">
        <v>369</v>
      </c>
      <c r="J148" s="50">
        <v>10</v>
      </c>
      <c r="K148" s="50">
        <v>2</v>
      </c>
      <c r="L148" s="50"/>
      <c r="M148" s="50"/>
      <c r="N148" s="50">
        <f>196+2</f>
        <v>198</v>
      </c>
      <c r="O148" s="50">
        <f t="shared" si="91"/>
        <v>579</v>
      </c>
      <c r="P148" s="51">
        <f t="shared" si="84"/>
        <v>6114.1931000000013</v>
      </c>
      <c r="Q148" s="51">
        <f t="shared" si="85"/>
        <v>4939.5076000000008</v>
      </c>
      <c r="R148" s="47">
        <f t="shared" si="92"/>
        <v>1561288</v>
      </c>
      <c r="S148" s="61"/>
      <c r="T148" s="61">
        <v>1561288</v>
      </c>
      <c r="U148" s="47">
        <f t="shared" si="93"/>
        <v>1873.5455999999999</v>
      </c>
      <c r="V148" s="51">
        <f t="shared" si="2"/>
        <v>496.75200000000001</v>
      </c>
      <c r="W148" s="47">
        <f t="shared" si="94"/>
        <v>0</v>
      </c>
      <c r="X148" s="67">
        <v>337.75200000000001</v>
      </c>
      <c r="Y148" s="67">
        <v>159</v>
      </c>
      <c r="Z148" s="47"/>
      <c r="AA148" s="47"/>
      <c r="AB148" s="51">
        <f t="shared" si="64"/>
        <v>411.48</v>
      </c>
      <c r="AC148" s="47">
        <f t="shared" si="95"/>
        <v>0</v>
      </c>
      <c r="AD148" s="47"/>
      <c r="AE148" s="67">
        <f t="shared" si="82"/>
        <v>411.48</v>
      </c>
      <c r="AF148" s="47"/>
      <c r="AG148" s="64">
        <v>228600</v>
      </c>
      <c r="AH148" s="47"/>
      <c r="AI148" s="47">
        <f t="shared" si="96"/>
        <v>986.79</v>
      </c>
      <c r="AJ148" s="53">
        <f t="shared" si="81"/>
        <v>501.54489999999998</v>
      </c>
      <c r="AK148" s="53">
        <f t="shared" si="97"/>
        <v>5015449</v>
      </c>
      <c r="AL148" s="47"/>
      <c r="AM148" s="47">
        <f t="shared" si="78"/>
        <v>247.471</v>
      </c>
      <c r="AN148" s="47">
        <f t="shared" si="79"/>
        <v>233.16929999999999</v>
      </c>
      <c r="AO148" s="47">
        <f t="shared" si="98"/>
        <v>2331693</v>
      </c>
      <c r="AP148" s="47">
        <f t="shared" si="86"/>
        <v>14.3017</v>
      </c>
      <c r="AQ148" s="47">
        <f t="shared" si="99"/>
        <v>143017</v>
      </c>
      <c r="AR148" s="47"/>
      <c r="AS148" s="47">
        <f t="shared" si="73"/>
        <v>45.7654</v>
      </c>
      <c r="AT148" s="47">
        <f t="shared" si="74"/>
        <v>25.742999999999999</v>
      </c>
      <c r="AU148" s="47">
        <f t="shared" si="100"/>
        <v>257430</v>
      </c>
      <c r="AV148" s="47">
        <f t="shared" si="69"/>
        <v>20.022300000000001</v>
      </c>
      <c r="AW148" s="47">
        <f t="shared" si="101"/>
        <v>200223</v>
      </c>
      <c r="AX148" s="47">
        <f t="shared" si="80"/>
        <v>376.15870000000001</v>
      </c>
      <c r="AY148" s="47"/>
      <c r="AZ148" s="47"/>
      <c r="BA148" s="54">
        <v>1E-4</v>
      </c>
      <c r="BB148" s="65" t="s">
        <v>275</v>
      </c>
      <c r="BC148" s="51">
        <f t="shared" si="102"/>
        <v>535.67499999999995</v>
      </c>
      <c r="BD148" s="47"/>
      <c r="BE148" s="47">
        <f t="shared" si="103"/>
        <v>0</v>
      </c>
      <c r="BF148" s="47"/>
      <c r="BG148" s="56">
        <v>436.67500000000001</v>
      </c>
      <c r="BH148" s="47">
        <v>99</v>
      </c>
      <c r="BI148" s="51">
        <f t="shared" si="87"/>
        <v>639.01049999999998</v>
      </c>
      <c r="BJ148" s="51">
        <f t="shared" si="88"/>
        <v>0</v>
      </c>
      <c r="BK148" s="68"/>
      <c r="BL148" s="68"/>
      <c r="BM148" s="47"/>
      <c r="BN148" s="68"/>
      <c r="BO148" s="47"/>
      <c r="BP148" s="68">
        <v>26.748000000000001</v>
      </c>
      <c r="BQ148" s="47"/>
      <c r="BR148" s="47"/>
      <c r="BS148" s="76">
        <v>103.7625</v>
      </c>
      <c r="BT148" s="47"/>
      <c r="BU148" s="47"/>
      <c r="BV148" s="47"/>
      <c r="BW148" s="76">
        <v>508.5</v>
      </c>
      <c r="BX148" s="47"/>
      <c r="BY148" s="47"/>
      <c r="BZ148" s="47"/>
      <c r="CA148" s="47"/>
      <c r="CB148" s="54">
        <f t="shared" si="89"/>
        <v>6114.1931000000013</v>
      </c>
      <c r="CC148" s="47"/>
      <c r="CD148" s="57"/>
      <c r="CE148" s="47"/>
      <c r="CF148" s="47">
        <f t="shared" si="83"/>
        <v>6114.1931000000013</v>
      </c>
    </row>
    <row r="149" spans="1:84" ht="14.25" customHeight="1">
      <c r="A149" s="47">
        <v>142</v>
      </c>
      <c r="B149" s="47" t="s">
        <v>129</v>
      </c>
      <c r="C149" s="48">
        <v>202027</v>
      </c>
      <c r="D149" s="60" t="s">
        <v>276</v>
      </c>
      <c r="E149" s="60" t="s">
        <v>150</v>
      </c>
      <c r="F149" s="50">
        <f t="shared" si="90"/>
        <v>3</v>
      </c>
      <c r="G149" s="50"/>
      <c r="H149" s="50"/>
      <c r="I149" s="50">
        <v>2</v>
      </c>
      <c r="J149" s="50">
        <v>1</v>
      </c>
      <c r="K149" s="50"/>
      <c r="L149" s="50"/>
      <c r="M149" s="50"/>
      <c r="N149" s="50"/>
      <c r="O149" s="50">
        <f t="shared" si="91"/>
        <v>3</v>
      </c>
      <c r="P149" s="51">
        <f t="shared" si="84"/>
        <v>93.400400000000005</v>
      </c>
      <c r="Q149" s="51">
        <f t="shared" si="85"/>
        <v>32.520400000000002</v>
      </c>
      <c r="R149" s="47">
        <f t="shared" si="92"/>
        <v>9812</v>
      </c>
      <c r="S149" s="58"/>
      <c r="T149" s="58">
        <v>9812</v>
      </c>
      <c r="U149" s="47">
        <f t="shared" si="93"/>
        <v>11.7744</v>
      </c>
      <c r="V149" s="51">
        <f t="shared" si="2"/>
        <v>0</v>
      </c>
      <c r="W149" s="47">
        <f t="shared" si="94"/>
        <v>0</v>
      </c>
      <c r="X149" s="47"/>
      <c r="Y149" s="47"/>
      <c r="Z149" s="47"/>
      <c r="AA149" s="47"/>
      <c r="AB149" s="51">
        <f t="shared" si="64"/>
        <v>4.32</v>
      </c>
      <c r="AC149" s="47">
        <f t="shared" si="95"/>
        <v>0</v>
      </c>
      <c r="AD149" s="47"/>
      <c r="AE149" s="47"/>
      <c r="AF149" s="47">
        <f>ROUND(AG149*12/10000,4)</f>
        <v>4.32</v>
      </c>
      <c r="AG149" s="47">
        <v>3600</v>
      </c>
      <c r="AH149" s="47"/>
      <c r="AI149" s="47">
        <f t="shared" si="96"/>
        <v>7.77</v>
      </c>
      <c r="AJ149" s="53">
        <f t="shared" ref="AJ149:AJ162" si="104">ROUND((U149+W149+AC149+AE149+AF149+AI149)*0.16,4)</f>
        <v>3.8182999999999998</v>
      </c>
      <c r="AK149" s="53">
        <f t="shared" si="97"/>
        <v>38183</v>
      </c>
      <c r="AL149" s="47"/>
      <c r="AM149" s="47">
        <f t="shared" ref="AM149:AM162" si="105">ROUND(((U149+W149+AI149)*0.085+N149*0.0075),4)</f>
        <v>1.6613</v>
      </c>
      <c r="AN149" s="47">
        <f t="shared" ref="AN149:AN159" si="106">ROUND(((U149+W149+AI149)*0.08+N149*0.0075),4)</f>
        <v>1.5636000000000001</v>
      </c>
      <c r="AO149" s="47">
        <f t="shared" si="98"/>
        <v>15636.000000000002</v>
      </c>
      <c r="AP149" s="47">
        <f t="shared" si="86"/>
        <v>9.7699999999999995E-2</v>
      </c>
      <c r="AQ149" s="47">
        <f t="shared" si="99"/>
        <v>977</v>
      </c>
      <c r="AR149" s="47"/>
      <c r="AS149" s="47">
        <f t="shared" si="73"/>
        <v>0.31269999999999998</v>
      </c>
      <c r="AT149" s="47">
        <f t="shared" si="74"/>
        <v>0.1759</v>
      </c>
      <c r="AU149" s="47">
        <f t="shared" si="100"/>
        <v>1759</v>
      </c>
      <c r="AV149" s="47">
        <f t="shared" si="69"/>
        <v>0.1368</v>
      </c>
      <c r="AW149" s="47">
        <f t="shared" si="101"/>
        <v>1368</v>
      </c>
      <c r="AX149" s="47">
        <f t="shared" ref="AX149:AX162" si="107">ROUND((U149+W149+AC149+AE149+AF149+AI149)*0.12,4)</f>
        <v>2.8637000000000001</v>
      </c>
      <c r="AY149" s="47"/>
      <c r="AZ149" s="47"/>
      <c r="BA149" s="54">
        <v>1E-4</v>
      </c>
      <c r="BB149" s="65" t="s">
        <v>276</v>
      </c>
      <c r="BC149" s="51">
        <f t="shared" si="102"/>
        <v>60.88</v>
      </c>
      <c r="BD149" s="47">
        <f t="shared" ref="BD149:BD159" si="108">1.2*(G149+H149)+0.96*(I149+J149)</f>
        <v>2.88</v>
      </c>
      <c r="BE149" s="47">
        <f t="shared" si="103"/>
        <v>0</v>
      </c>
      <c r="BF149" s="47"/>
      <c r="BG149" s="56">
        <v>58</v>
      </c>
      <c r="BH149" s="47"/>
      <c r="BI149" s="51">
        <f t="shared" si="87"/>
        <v>0</v>
      </c>
      <c r="BJ149" s="51">
        <f t="shared" si="88"/>
        <v>0</v>
      </c>
      <c r="BK149" s="47"/>
      <c r="BL149" s="47"/>
      <c r="BM149" s="47"/>
      <c r="BN149" s="47"/>
      <c r="BO149" s="47"/>
      <c r="BP149" s="47"/>
      <c r="BQ149" s="47"/>
      <c r="BR149" s="47"/>
      <c r="BS149" s="53"/>
      <c r="BT149" s="47"/>
      <c r="BU149" s="47"/>
      <c r="BV149" s="47"/>
      <c r="BW149" s="68"/>
      <c r="BX149" s="47"/>
      <c r="BY149" s="47"/>
      <c r="BZ149" s="47"/>
      <c r="CA149" s="47"/>
      <c r="CB149" s="54">
        <f t="shared" si="89"/>
        <v>93.400400000000005</v>
      </c>
      <c r="CC149" s="47"/>
      <c r="CD149" s="57"/>
      <c r="CE149" s="47"/>
      <c r="CF149" s="47">
        <f t="shared" si="83"/>
        <v>93.400400000000005</v>
      </c>
    </row>
    <row r="150" spans="1:84" ht="14.25" customHeight="1">
      <c r="A150" s="47">
        <v>143</v>
      </c>
      <c r="B150" s="47" t="s">
        <v>129</v>
      </c>
      <c r="C150" s="48">
        <v>205001</v>
      </c>
      <c r="D150" s="49" t="s">
        <v>277</v>
      </c>
      <c r="E150" s="49" t="s">
        <v>143</v>
      </c>
      <c r="F150" s="50">
        <f t="shared" si="90"/>
        <v>6</v>
      </c>
      <c r="G150" s="50">
        <v>6</v>
      </c>
      <c r="H150" s="50"/>
      <c r="I150" s="50"/>
      <c r="J150" s="50"/>
      <c r="K150" s="50"/>
      <c r="L150" s="50"/>
      <c r="M150" s="50"/>
      <c r="N150" s="50"/>
      <c r="O150" s="50">
        <f t="shared" si="91"/>
        <v>6</v>
      </c>
      <c r="P150" s="51">
        <f t="shared" si="84"/>
        <v>98.079800000000006</v>
      </c>
      <c r="Q150" s="51">
        <f t="shared" si="85"/>
        <v>74.911799999999999</v>
      </c>
      <c r="R150" s="47">
        <f t="shared" si="92"/>
        <v>23933</v>
      </c>
      <c r="S150" s="58">
        <v>23933</v>
      </c>
      <c r="T150" s="58"/>
      <c r="U150" s="47">
        <f t="shared" si="93"/>
        <v>28.7196</v>
      </c>
      <c r="V150" s="51">
        <f t="shared" si="2"/>
        <v>13.5</v>
      </c>
      <c r="W150" s="47">
        <f t="shared" si="94"/>
        <v>13.5</v>
      </c>
      <c r="X150" s="47"/>
      <c r="Y150" s="47"/>
      <c r="Z150" s="47"/>
      <c r="AA150" s="47"/>
      <c r="AB150" s="51">
        <f t="shared" si="64"/>
        <v>13.303699999999999</v>
      </c>
      <c r="AC150" s="47">
        <f t="shared" si="95"/>
        <v>2.3933</v>
      </c>
      <c r="AD150" s="47"/>
      <c r="AE150" s="47"/>
      <c r="AF150" s="47">
        <f>ROUND(AG150*12/10000,4)</f>
        <v>10.910399999999999</v>
      </c>
      <c r="AG150" s="47">
        <v>9092</v>
      </c>
      <c r="AH150" s="47"/>
      <c r="AI150" s="47">
        <f t="shared" si="96"/>
        <v>0</v>
      </c>
      <c r="AJ150" s="53">
        <f t="shared" si="104"/>
        <v>8.8836999999999993</v>
      </c>
      <c r="AK150" s="53">
        <f t="shared" si="97"/>
        <v>88836.999999999985</v>
      </c>
      <c r="AL150" s="47"/>
      <c r="AM150" s="47">
        <f t="shared" si="105"/>
        <v>3.5886999999999998</v>
      </c>
      <c r="AN150" s="47">
        <f t="shared" si="106"/>
        <v>3.3776000000000002</v>
      </c>
      <c r="AO150" s="47">
        <f t="shared" si="98"/>
        <v>33776</v>
      </c>
      <c r="AP150" s="47">
        <f t="shared" si="86"/>
        <v>0.21110000000000001</v>
      </c>
      <c r="AQ150" s="47">
        <f t="shared" si="99"/>
        <v>2111</v>
      </c>
      <c r="AR150" s="47"/>
      <c r="AS150" s="47">
        <f t="shared" ref="AS150:AS162" si="109">ROUND(((T150*12/10000+AI150)*0.007+(U150+W150+AI150)*0.006),4)</f>
        <v>0.25330000000000003</v>
      </c>
      <c r="AT150" s="47">
        <f t="shared" ref="AT150:AT159" si="110">ROUND(((U150+W150+AI150)*0.006),4)</f>
        <v>0.25330000000000003</v>
      </c>
      <c r="AU150" s="47">
        <f t="shared" si="100"/>
        <v>2533.0000000000005</v>
      </c>
      <c r="AV150" s="47">
        <f t="shared" si="69"/>
        <v>0</v>
      </c>
      <c r="AW150" s="47">
        <f t="shared" si="101"/>
        <v>0</v>
      </c>
      <c r="AX150" s="47">
        <f t="shared" si="107"/>
        <v>6.6627999999999998</v>
      </c>
      <c r="AY150" s="47"/>
      <c r="AZ150" s="47"/>
      <c r="BA150" s="54">
        <v>1E-4</v>
      </c>
      <c r="BB150" s="55" t="s">
        <v>277</v>
      </c>
      <c r="BC150" s="51">
        <f t="shared" si="102"/>
        <v>23.167999999999999</v>
      </c>
      <c r="BD150" s="47">
        <f t="shared" si="108"/>
        <v>7.1999999999999993</v>
      </c>
      <c r="BE150" s="47">
        <f t="shared" si="103"/>
        <v>4.968</v>
      </c>
      <c r="BF150" s="47">
        <v>4140</v>
      </c>
      <c r="BG150" s="56">
        <v>11</v>
      </c>
      <c r="BH150" s="47"/>
      <c r="BI150" s="51">
        <f t="shared" si="87"/>
        <v>0</v>
      </c>
      <c r="BJ150" s="51">
        <f t="shared" si="88"/>
        <v>0</v>
      </c>
      <c r="BK150" s="47"/>
      <c r="BL150" s="47"/>
      <c r="BM150" s="47"/>
      <c r="BN150" s="47"/>
      <c r="BO150" s="47"/>
      <c r="BP150" s="47"/>
      <c r="BQ150" s="47"/>
      <c r="BR150" s="47"/>
      <c r="BS150" s="53"/>
      <c r="BT150" s="47"/>
      <c r="BU150" s="47"/>
      <c r="BV150" s="47"/>
      <c r="BW150" s="47"/>
      <c r="BX150" s="47">
        <v>113</v>
      </c>
      <c r="BY150" s="47"/>
      <c r="BZ150" s="47"/>
      <c r="CA150" s="47"/>
      <c r="CB150" s="54">
        <f t="shared" si="89"/>
        <v>211.07980000000001</v>
      </c>
      <c r="CC150" s="47"/>
      <c r="CD150" s="57"/>
      <c r="CE150" s="47"/>
      <c r="CF150" s="47">
        <f t="shared" si="83"/>
        <v>211.07980000000001</v>
      </c>
    </row>
    <row r="151" spans="1:84" ht="14.25" customHeight="1">
      <c r="A151" s="47">
        <v>144</v>
      </c>
      <c r="B151" s="47" t="s">
        <v>129</v>
      </c>
      <c r="C151" s="75">
        <v>201001</v>
      </c>
      <c r="D151" s="49" t="s">
        <v>278</v>
      </c>
      <c r="E151" s="49" t="s">
        <v>131</v>
      </c>
      <c r="F151" s="50">
        <f t="shared" si="90"/>
        <v>26</v>
      </c>
      <c r="G151" s="50">
        <v>15</v>
      </c>
      <c r="H151" s="50">
        <v>3</v>
      </c>
      <c r="I151" s="50">
        <v>8</v>
      </c>
      <c r="J151" s="50"/>
      <c r="K151" s="50"/>
      <c r="L151" s="50"/>
      <c r="M151" s="50">
        <v>1</v>
      </c>
      <c r="N151" s="50">
        <v>30</v>
      </c>
      <c r="O151" s="50">
        <f t="shared" si="91"/>
        <v>57</v>
      </c>
      <c r="P151" s="51">
        <f t="shared" si="84"/>
        <v>518.55514000000005</v>
      </c>
      <c r="Q151" s="51">
        <f t="shared" si="85"/>
        <v>297.7641000000001</v>
      </c>
      <c r="R151" s="47">
        <f t="shared" si="92"/>
        <v>90661</v>
      </c>
      <c r="S151" s="58">
        <v>71022</v>
      </c>
      <c r="T151" s="58">
        <v>19639</v>
      </c>
      <c r="U151" s="47">
        <f t="shared" si="93"/>
        <v>108.7932</v>
      </c>
      <c r="V151" s="51">
        <f t="shared" si="2"/>
        <v>40.5</v>
      </c>
      <c r="W151" s="47">
        <f t="shared" si="94"/>
        <v>40.5</v>
      </c>
      <c r="X151" s="47"/>
      <c r="Y151" s="47"/>
      <c r="Z151" s="47"/>
      <c r="AA151" s="47"/>
      <c r="AB151" s="51">
        <f t="shared" si="64"/>
        <v>50.110200000000006</v>
      </c>
      <c r="AC151" s="47">
        <f t="shared" si="95"/>
        <v>7.1021999999999998</v>
      </c>
      <c r="AD151" s="47"/>
      <c r="AE151" s="47"/>
      <c r="AF151" s="47">
        <f>ROUND(AG151*12/10000,4)</f>
        <v>43.008000000000003</v>
      </c>
      <c r="AG151" s="47">
        <v>35840</v>
      </c>
      <c r="AH151" s="47"/>
      <c r="AI151" s="47">
        <f t="shared" si="96"/>
        <v>20.72</v>
      </c>
      <c r="AJ151" s="53">
        <f t="shared" si="104"/>
        <v>35.219700000000003</v>
      </c>
      <c r="AK151" s="53">
        <f t="shared" si="97"/>
        <v>352197.00000000006</v>
      </c>
      <c r="AL151" s="47"/>
      <c r="AM151" s="47">
        <f t="shared" si="105"/>
        <v>14.6761</v>
      </c>
      <c r="AN151" s="47">
        <f t="shared" si="106"/>
        <v>13.8261</v>
      </c>
      <c r="AO151" s="47">
        <f t="shared" si="98"/>
        <v>138261</v>
      </c>
      <c r="AP151" s="47">
        <f t="shared" si="86"/>
        <v>0.85009999999999997</v>
      </c>
      <c r="AQ151" s="47">
        <f t="shared" si="99"/>
        <v>8501</v>
      </c>
      <c r="AR151" s="47"/>
      <c r="AS151" s="47">
        <f t="shared" si="109"/>
        <v>1.3301000000000001</v>
      </c>
      <c r="AT151" s="47">
        <f t="shared" si="110"/>
        <v>1.0201</v>
      </c>
      <c r="AU151" s="47">
        <f t="shared" si="100"/>
        <v>10201</v>
      </c>
      <c r="AV151" s="47">
        <f t="shared" si="69"/>
        <v>0.31</v>
      </c>
      <c r="AW151" s="47">
        <f t="shared" si="101"/>
        <v>3100</v>
      </c>
      <c r="AX151" s="47">
        <f t="shared" si="107"/>
        <v>26.4148</v>
      </c>
      <c r="AY151" s="47"/>
      <c r="AZ151" s="47"/>
      <c r="BA151" s="54">
        <v>1E-4</v>
      </c>
      <c r="BB151" s="55" t="s">
        <v>278</v>
      </c>
      <c r="BC151" s="51">
        <f t="shared" si="102"/>
        <v>214.708</v>
      </c>
      <c r="BD151" s="47">
        <f t="shared" si="108"/>
        <v>29.279999999999998</v>
      </c>
      <c r="BE151" s="47">
        <f t="shared" si="103"/>
        <v>13.428000000000001</v>
      </c>
      <c r="BF151" s="47">
        <v>11190</v>
      </c>
      <c r="BG151" s="56">
        <v>172</v>
      </c>
      <c r="BH151" s="47"/>
      <c r="BI151" s="51">
        <f t="shared" si="87"/>
        <v>6.0830399999999996</v>
      </c>
      <c r="BJ151" s="51">
        <f t="shared" si="88"/>
        <v>4.4270399999999999</v>
      </c>
      <c r="BK151" s="47"/>
      <c r="BL151" s="47">
        <v>4.4270399999999999</v>
      </c>
      <c r="BM151" s="47"/>
      <c r="BN151" s="47"/>
      <c r="BO151" s="47"/>
      <c r="BP151" s="68">
        <v>1.6559999999999999</v>
      </c>
      <c r="BQ151" s="47"/>
      <c r="BR151" s="47"/>
      <c r="BS151" s="53"/>
      <c r="BT151" s="47"/>
      <c r="BU151" s="47"/>
      <c r="BV151" s="47"/>
      <c r="BW151" s="47"/>
      <c r="BX151" s="47">
        <v>12</v>
      </c>
      <c r="BY151" s="47"/>
      <c r="BZ151" s="47">
        <f>908.96+65</f>
        <v>973.96</v>
      </c>
      <c r="CA151" s="47"/>
      <c r="CB151" s="54">
        <f t="shared" si="89"/>
        <v>1504.51514</v>
      </c>
      <c r="CC151" s="47">
        <v>48.45</v>
      </c>
      <c r="CD151" s="57"/>
      <c r="CE151" s="47"/>
      <c r="CF151" s="47">
        <f t="shared" si="83"/>
        <v>1552.96514</v>
      </c>
    </row>
    <row r="152" spans="1:84" ht="14.25" customHeight="1">
      <c r="A152" s="47">
        <v>145</v>
      </c>
      <c r="B152" s="47" t="s">
        <v>129</v>
      </c>
      <c r="C152" s="75">
        <v>201004</v>
      </c>
      <c r="D152" s="59" t="s">
        <v>279</v>
      </c>
      <c r="E152" s="59" t="s">
        <v>141</v>
      </c>
      <c r="F152" s="50">
        <f t="shared" si="90"/>
        <v>23</v>
      </c>
      <c r="G152" s="50">
        <v>5</v>
      </c>
      <c r="H152" s="50">
        <v>18</v>
      </c>
      <c r="I152" s="50"/>
      <c r="J152" s="50"/>
      <c r="K152" s="50"/>
      <c r="L152" s="50"/>
      <c r="M152" s="50"/>
      <c r="N152" s="50">
        <v>1</v>
      </c>
      <c r="O152" s="50">
        <f t="shared" si="91"/>
        <v>24</v>
      </c>
      <c r="P152" s="51">
        <f t="shared" si="84"/>
        <v>349.2518</v>
      </c>
      <c r="Q152" s="51">
        <f t="shared" si="85"/>
        <v>237.35180000000003</v>
      </c>
      <c r="R152" s="47">
        <f t="shared" si="92"/>
        <v>68946</v>
      </c>
      <c r="S152" s="58">
        <v>68946</v>
      </c>
      <c r="T152" s="58"/>
      <c r="U152" s="47">
        <f t="shared" si="93"/>
        <v>82.735200000000006</v>
      </c>
      <c r="V152" s="51">
        <f t="shared" si="2"/>
        <v>51.75</v>
      </c>
      <c r="W152" s="47">
        <f t="shared" si="94"/>
        <v>51.75</v>
      </c>
      <c r="X152" s="47"/>
      <c r="Y152" s="47"/>
      <c r="Z152" s="47"/>
      <c r="AA152" s="47"/>
      <c r="AB152" s="51">
        <f t="shared" si="64"/>
        <v>41.378999999999998</v>
      </c>
      <c r="AC152" s="47">
        <f t="shared" si="95"/>
        <v>6.8945999999999996</v>
      </c>
      <c r="AD152" s="47"/>
      <c r="AE152" s="47"/>
      <c r="AF152" s="47">
        <f t="shared" ref="AF152:AF162" si="111">ROUND(AG152*12/10000,4)</f>
        <v>34.484400000000001</v>
      </c>
      <c r="AG152" s="47">
        <v>28737</v>
      </c>
      <c r="AH152" s="47"/>
      <c r="AI152" s="47">
        <f t="shared" si="96"/>
        <v>0</v>
      </c>
      <c r="AJ152" s="53">
        <f t="shared" si="104"/>
        <v>28.138300000000001</v>
      </c>
      <c r="AK152" s="53">
        <f t="shared" si="97"/>
        <v>281383</v>
      </c>
      <c r="AL152" s="47"/>
      <c r="AM152" s="47">
        <f t="shared" si="105"/>
        <v>11.438700000000001</v>
      </c>
      <c r="AN152" s="47">
        <f t="shared" si="106"/>
        <v>10.766299999999999</v>
      </c>
      <c r="AO152" s="47">
        <f t="shared" si="98"/>
        <v>107663</v>
      </c>
      <c r="AP152" s="47">
        <f t="shared" si="86"/>
        <v>0.6724</v>
      </c>
      <c r="AQ152" s="47">
        <f t="shared" si="99"/>
        <v>6724</v>
      </c>
      <c r="AR152" s="47"/>
      <c r="AS152" s="47">
        <f t="shared" si="109"/>
        <v>0.80689999999999995</v>
      </c>
      <c r="AT152" s="47">
        <f t="shared" si="110"/>
        <v>0.80689999999999995</v>
      </c>
      <c r="AU152" s="47">
        <f t="shared" si="100"/>
        <v>8068.9999999999991</v>
      </c>
      <c r="AV152" s="47">
        <f t="shared" si="69"/>
        <v>0</v>
      </c>
      <c r="AW152" s="47">
        <f t="shared" si="101"/>
        <v>0</v>
      </c>
      <c r="AX152" s="47">
        <f t="shared" si="107"/>
        <v>21.1037</v>
      </c>
      <c r="AY152" s="47"/>
      <c r="AZ152" s="47"/>
      <c r="BA152" s="54">
        <v>1E-4</v>
      </c>
      <c r="BB152" s="54" t="s">
        <v>279</v>
      </c>
      <c r="BC152" s="51">
        <f t="shared" si="102"/>
        <v>111.9</v>
      </c>
      <c r="BD152" s="47">
        <f t="shared" si="108"/>
        <v>27.599999999999998</v>
      </c>
      <c r="BE152" s="47">
        <f t="shared" si="103"/>
        <v>13.8</v>
      </c>
      <c r="BF152" s="47">
        <v>11500</v>
      </c>
      <c r="BG152" s="56">
        <v>69</v>
      </c>
      <c r="BH152" s="47">
        <v>1.5</v>
      </c>
      <c r="BI152" s="51">
        <f t="shared" si="87"/>
        <v>0</v>
      </c>
      <c r="BJ152" s="51">
        <f t="shared" si="88"/>
        <v>0</v>
      </c>
      <c r="BK152" s="47"/>
      <c r="BL152" s="47"/>
      <c r="BM152" s="47"/>
      <c r="BN152" s="47"/>
      <c r="BO152" s="47"/>
      <c r="BP152" s="47"/>
      <c r="BQ152" s="47"/>
      <c r="BR152" s="47"/>
      <c r="BS152" s="53"/>
      <c r="BT152" s="47"/>
      <c r="BU152" s="47"/>
      <c r="BV152" s="47"/>
      <c r="BW152" s="47"/>
      <c r="BX152" s="47">
        <v>20</v>
      </c>
      <c r="BY152" s="47"/>
      <c r="BZ152" s="47"/>
      <c r="CA152" s="47"/>
      <c r="CB152" s="54">
        <f t="shared" si="89"/>
        <v>369.2518</v>
      </c>
      <c r="CC152" s="47"/>
      <c r="CD152" s="57"/>
      <c r="CE152" s="47"/>
      <c r="CF152" s="47">
        <f t="shared" si="83"/>
        <v>369.2518</v>
      </c>
    </row>
    <row r="153" spans="1:84" s="79" customFormat="1" ht="14.25" customHeight="1">
      <c r="A153" s="47">
        <v>146</v>
      </c>
      <c r="B153" s="77" t="s">
        <v>129</v>
      </c>
      <c r="C153" s="78">
        <v>201003</v>
      </c>
      <c r="D153" s="49" t="s">
        <v>280</v>
      </c>
      <c r="E153" s="49" t="s">
        <v>150</v>
      </c>
      <c r="F153" s="50">
        <f t="shared" si="90"/>
        <v>10</v>
      </c>
      <c r="G153" s="50"/>
      <c r="H153" s="50"/>
      <c r="I153" s="50">
        <v>6</v>
      </c>
      <c r="J153" s="50">
        <v>4</v>
      </c>
      <c r="K153" s="50"/>
      <c r="L153" s="50"/>
      <c r="M153" s="50"/>
      <c r="N153" s="50">
        <v>6</v>
      </c>
      <c r="O153" s="50">
        <f t="shared" si="91"/>
        <v>16</v>
      </c>
      <c r="P153" s="51">
        <f t="shared" si="84"/>
        <v>167.95</v>
      </c>
      <c r="Q153" s="51">
        <f t="shared" si="85"/>
        <v>116.202</v>
      </c>
      <c r="R153" s="47">
        <f t="shared" si="92"/>
        <v>37515</v>
      </c>
      <c r="S153" s="58"/>
      <c r="T153" s="58">
        <v>37515</v>
      </c>
      <c r="U153" s="47">
        <f t="shared" si="93"/>
        <v>45.018000000000001</v>
      </c>
      <c r="V153" s="51">
        <f t="shared" si="2"/>
        <v>0</v>
      </c>
      <c r="W153" s="47">
        <f t="shared" si="94"/>
        <v>0</v>
      </c>
      <c r="X153" s="47"/>
      <c r="Y153" s="47"/>
      <c r="Z153" s="47"/>
      <c r="AA153" s="47"/>
      <c r="AB153" s="51">
        <f t="shared" si="64"/>
        <v>14.4</v>
      </c>
      <c r="AC153" s="47">
        <f t="shared" si="95"/>
        <v>0</v>
      </c>
      <c r="AD153" s="47"/>
      <c r="AE153" s="47"/>
      <c r="AF153" s="47">
        <f t="shared" si="111"/>
        <v>14.4</v>
      </c>
      <c r="AG153" s="47">
        <v>12000</v>
      </c>
      <c r="AH153" s="47"/>
      <c r="AI153" s="47">
        <f t="shared" si="96"/>
        <v>25.9</v>
      </c>
      <c r="AJ153" s="53">
        <f t="shared" si="104"/>
        <v>13.6509</v>
      </c>
      <c r="AK153" s="53">
        <f t="shared" si="97"/>
        <v>136509</v>
      </c>
      <c r="AL153" s="47"/>
      <c r="AM153" s="47">
        <f t="shared" si="105"/>
        <v>6.0730000000000004</v>
      </c>
      <c r="AN153" s="47">
        <f t="shared" si="106"/>
        <v>5.7183999999999999</v>
      </c>
      <c r="AO153" s="47">
        <f t="shared" si="98"/>
        <v>57184</v>
      </c>
      <c r="AP153" s="47">
        <f t="shared" si="86"/>
        <v>0.35460000000000003</v>
      </c>
      <c r="AQ153" s="47">
        <f t="shared" si="99"/>
        <v>3546.0000000000005</v>
      </c>
      <c r="AR153" s="47"/>
      <c r="AS153" s="47">
        <f t="shared" si="109"/>
        <v>0.92190000000000005</v>
      </c>
      <c r="AT153" s="47">
        <f t="shared" si="110"/>
        <v>0.42549999999999999</v>
      </c>
      <c r="AU153" s="47">
        <f t="shared" si="100"/>
        <v>4255</v>
      </c>
      <c r="AV153" s="47">
        <f t="shared" si="69"/>
        <v>0.49640000000000001</v>
      </c>
      <c r="AW153" s="47">
        <f t="shared" si="101"/>
        <v>4964</v>
      </c>
      <c r="AX153" s="47">
        <f t="shared" si="107"/>
        <v>10.238200000000001</v>
      </c>
      <c r="AY153" s="47"/>
      <c r="AZ153" s="47"/>
      <c r="BA153" s="54">
        <v>1E-4</v>
      </c>
      <c r="BB153" s="55" t="s">
        <v>280</v>
      </c>
      <c r="BC153" s="51">
        <f t="shared" si="102"/>
        <v>49.6</v>
      </c>
      <c r="BD153" s="47">
        <f t="shared" si="108"/>
        <v>9.6</v>
      </c>
      <c r="BE153" s="47">
        <f t="shared" si="103"/>
        <v>0</v>
      </c>
      <c r="BF153" s="47"/>
      <c r="BG153" s="56">
        <v>40</v>
      </c>
      <c r="BH153" s="47"/>
      <c r="BI153" s="51">
        <f t="shared" si="87"/>
        <v>2.1480000000000001</v>
      </c>
      <c r="BJ153" s="51">
        <f t="shared" si="88"/>
        <v>0</v>
      </c>
      <c r="BK153" s="47"/>
      <c r="BL153" s="47"/>
      <c r="BM153" s="47"/>
      <c r="BN153" s="47"/>
      <c r="BO153" s="47"/>
      <c r="BP153" s="68">
        <v>2.1480000000000001</v>
      </c>
      <c r="BQ153" s="47"/>
      <c r="BR153" s="47"/>
      <c r="BS153" s="53"/>
      <c r="BT153" s="47"/>
      <c r="BU153" s="47"/>
      <c r="BV153" s="47"/>
      <c r="BW153" s="47"/>
      <c r="BX153" s="47"/>
      <c r="BY153" s="47"/>
      <c r="BZ153" s="47"/>
      <c r="CA153" s="47"/>
      <c r="CB153" s="54">
        <f t="shared" si="89"/>
        <v>167.95</v>
      </c>
      <c r="CC153" s="47"/>
      <c r="CD153" s="57"/>
      <c r="CE153" s="47"/>
      <c r="CF153" s="47">
        <f t="shared" si="83"/>
        <v>167.95</v>
      </c>
    </row>
    <row r="154" spans="1:84" ht="14.25" customHeight="1">
      <c r="A154" s="47">
        <v>147</v>
      </c>
      <c r="B154" s="47" t="s">
        <v>129</v>
      </c>
      <c r="C154" s="75">
        <v>201002</v>
      </c>
      <c r="D154" s="49" t="s">
        <v>281</v>
      </c>
      <c r="E154" s="49" t="s">
        <v>150</v>
      </c>
      <c r="F154" s="50">
        <f t="shared" si="90"/>
        <v>12</v>
      </c>
      <c r="G154" s="50"/>
      <c r="H154" s="50"/>
      <c r="I154" s="50">
        <v>8</v>
      </c>
      <c r="J154" s="50">
        <v>4</v>
      </c>
      <c r="K154" s="50"/>
      <c r="L154" s="50"/>
      <c r="M154" s="50"/>
      <c r="N154" s="50">
        <v>6</v>
      </c>
      <c r="O154" s="50">
        <f t="shared" si="91"/>
        <v>18</v>
      </c>
      <c r="P154" s="51">
        <f t="shared" si="84"/>
        <v>184.56155999999999</v>
      </c>
      <c r="Q154" s="51">
        <f t="shared" si="85"/>
        <v>132.04156</v>
      </c>
      <c r="R154" s="47">
        <f t="shared" si="92"/>
        <v>40547.800000000003</v>
      </c>
      <c r="S154" s="58"/>
      <c r="T154" s="58">
        <v>40547.800000000003</v>
      </c>
      <c r="U154" s="47">
        <f t="shared" si="93"/>
        <v>48.657359999999997</v>
      </c>
      <c r="V154" s="51">
        <f t="shared" si="2"/>
        <v>0</v>
      </c>
      <c r="W154" s="47">
        <f t="shared" si="94"/>
        <v>0</v>
      </c>
      <c r="X154" s="47"/>
      <c r="Y154" s="47"/>
      <c r="Z154" s="47"/>
      <c r="AA154" s="47"/>
      <c r="AB154" s="51">
        <f t="shared" si="64"/>
        <v>17.28</v>
      </c>
      <c r="AC154" s="47">
        <f t="shared" si="95"/>
        <v>0</v>
      </c>
      <c r="AD154" s="47"/>
      <c r="AE154" s="47"/>
      <c r="AF154" s="47">
        <f t="shared" si="111"/>
        <v>17.28</v>
      </c>
      <c r="AG154" s="47">
        <v>14400</v>
      </c>
      <c r="AH154" s="47"/>
      <c r="AI154" s="47">
        <f t="shared" si="96"/>
        <v>31.08</v>
      </c>
      <c r="AJ154" s="53">
        <f t="shared" si="104"/>
        <v>15.5228</v>
      </c>
      <c r="AK154" s="53">
        <f t="shared" si="97"/>
        <v>155228</v>
      </c>
      <c r="AL154" s="47"/>
      <c r="AM154" s="47">
        <f t="shared" si="105"/>
        <v>6.8227000000000002</v>
      </c>
      <c r="AN154" s="47">
        <f t="shared" si="106"/>
        <v>6.4240000000000004</v>
      </c>
      <c r="AO154" s="47">
        <f t="shared" si="98"/>
        <v>64240.000000000007</v>
      </c>
      <c r="AP154" s="47">
        <f t="shared" si="86"/>
        <v>0.3987</v>
      </c>
      <c r="AQ154" s="47">
        <f t="shared" si="99"/>
        <v>3987</v>
      </c>
      <c r="AR154" s="47"/>
      <c r="AS154" s="47">
        <f t="shared" si="109"/>
        <v>1.0366</v>
      </c>
      <c r="AT154" s="47">
        <f t="shared" si="110"/>
        <v>0.47839999999999999</v>
      </c>
      <c r="AU154" s="47">
        <f t="shared" si="100"/>
        <v>4784</v>
      </c>
      <c r="AV154" s="47">
        <f t="shared" si="69"/>
        <v>0.55820000000000003</v>
      </c>
      <c r="AW154" s="47">
        <f t="shared" si="101"/>
        <v>5582</v>
      </c>
      <c r="AX154" s="47">
        <f t="shared" si="107"/>
        <v>11.642099999999999</v>
      </c>
      <c r="AY154" s="47"/>
      <c r="AZ154" s="47"/>
      <c r="BA154" s="54">
        <v>1E-4</v>
      </c>
      <c r="BB154" s="55" t="s">
        <v>281</v>
      </c>
      <c r="BC154" s="51">
        <f t="shared" si="102"/>
        <v>52.519999999999996</v>
      </c>
      <c r="BD154" s="47">
        <f t="shared" si="108"/>
        <v>11.52</v>
      </c>
      <c r="BE154" s="47">
        <f t="shared" si="103"/>
        <v>0</v>
      </c>
      <c r="BF154" s="47"/>
      <c r="BG154" s="56">
        <v>41</v>
      </c>
      <c r="BH154" s="47"/>
      <c r="BI154" s="51">
        <f t="shared" si="87"/>
        <v>0</v>
      </c>
      <c r="BJ154" s="51">
        <f t="shared" si="88"/>
        <v>0</v>
      </c>
      <c r="BK154" s="47"/>
      <c r="BL154" s="47"/>
      <c r="BM154" s="47"/>
      <c r="BN154" s="47"/>
      <c r="BO154" s="47"/>
      <c r="BP154" s="47"/>
      <c r="BQ154" s="47"/>
      <c r="BR154" s="47"/>
      <c r="BS154" s="53"/>
      <c r="BT154" s="47"/>
      <c r="BU154" s="47"/>
      <c r="BV154" s="47"/>
      <c r="BW154" s="47"/>
      <c r="BX154" s="47"/>
      <c r="BY154" s="47"/>
      <c r="BZ154" s="47"/>
      <c r="CA154" s="47"/>
      <c r="CB154" s="54">
        <f t="shared" si="89"/>
        <v>184.56155999999999</v>
      </c>
      <c r="CC154" s="47"/>
      <c r="CD154" s="57"/>
      <c r="CE154" s="47"/>
      <c r="CF154" s="47">
        <f t="shared" si="83"/>
        <v>184.56155999999999</v>
      </c>
    </row>
    <row r="155" spans="1:84" ht="14.25" customHeight="1">
      <c r="A155" s="47">
        <v>148</v>
      </c>
      <c r="B155" s="47" t="s">
        <v>129</v>
      </c>
      <c r="C155" s="75">
        <v>201005</v>
      </c>
      <c r="D155" s="49" t="s">
        <v>282</v>
      </c>
      <c r="E155" s="49" t="s">
        <v>150</v>
      </c>
      <c r="F155" s="50">
        <f t="shared" si="90"/>
        <v>6</v>
      </c>
      <c r="G155" s="50"/>
      <c r="H155" s="50"/>
      <c r="I155" s="50">
        <v>5</v>
      </c>
      <c r="J155" s="50">
        <v>1</v>
      </c>
      <c r="K155" s="50"/>
      <c r="L155" s="50"/>
      <c r="M155" s="50"/>
      <c r="N155" s="50"/>
      <c r="O155" s="50">
        <f t="shared" si="91"/>
        <v>6</v>
      </c>
      <c r="P155" s="51">
        <f t="shared" si="84"/>
        <v>98.235500000000002</v>
      </c>
      <c r="Q155" s="51">
        <f t="shared" si="85"/>
        <v>68.475500000000011</v>
      </c>
      <c r="R155" s="47">
        <f t="shared" si="92"/>
        <v>21772</v>
      </c>
      <c r="S155" s="58"/>
      <c r="T155" s="58">
        <v>21772</v>
      </c>
      <c r="U155" s="47">
        <f t="shared" si="93"/>
        <v>26.1264</v>
      </c>
      <c r="V155" s="51">
        <f t="shared" si="2"/>
        <v>0</v>
      </c>
      <c r="W155" s="47">
        <f t="shared" si="94"/>
        <v>0</v>
      </c>
      <c r="X155" s="47"/>
      <c r="Y155" s="47"/>
      <c r="Z155" s="47"/>
      <c r="AA155" s="47"/>
      <c r="AB155" s="51">
        <f t="shared" si="64"/>
        <v>8.64</v>
      </c>
      <c r="AC155" s="47">
        <f t="shared" si="95"/>
        <v>0</v>
      </c>
      <c r="AD155" s="47"/>
      <c r="AE155" s="47"/>
      <c r="AF155" s="47">
        <f t="shared" si="111"/>
        <v>8.64</v>
      </c>
      <c r="AG155" s="47">
        <v>7200</v>
      </c>
      <c r="AH155" s="47"/>
      <c r="AI155" s="47">
        <f t="shared" si="96"/>
        <v>15.54</v>
      </c>
      <c r="AJ155" s="53">
        <f t="shared" si="104"/>
        <v>8.0489999999999995</v>
      </c>
      <c r="AK155" s="53">
        <f t="shared" si="97"/>
        <v>80490</v>
      </c>
      <c r="AL155" s="47"/>
      <c r="AM155" s="47">
        <f t="shared" si="105"/>
        <v>3.5415999999999999</v>
      </c>
      <c r="AN155" s="47">
        <f t="shared" si="106"/>
        <v>3.3332999999999999</v>
      </c>
      <c r="AO155" s="47">
        <f t="shared" si="98"/>
        <v>33333</v>
      </c>
      <c r="AP155" s="47">
        <f t="shared" si="86"/>
        <v>0.20830000000000001</v>
      </c>
      <c r="AQ155" s="47">
        <f t="shared" si="99"/>
        <v>2083</v>
      </c>
      <c r="AR155" s="47"/>
      <c r="AS155" s="47">
        <f t="shared" si="109"/>
        <v>0.54169999999999996</v>
      </c>
      <c r="AT155" s="47">
        <f t="shared" si="110"/>
        <v>0.25</v>
      </c>
      <c r="AU155" s="47">
        <f t="shared" si="100"/>
        <v>2500</v>
      </c>
      <c r="AV155" s="47">
        <f t="shared" si="69"/>
        <v>0.29170000000000001</v>
      </c>
      <c r="AW155" s="47">
        <f t="shared" si="101"/>
        <v>2917</v>
      </c>
      <c r="AX155" s="47">
        <f t="shared" si="107"/>
        <v>6.0368000000000004</v>
      </c>
      <c r="AY155" s="47"/>
      <c r="AZ155" s="47"/>
      <c r="BA155" s="54">
        <v>1E-4</v>
      </c>
      <c r="BB155" s="55" t="s">
        <v>282</v>
      </c>
      <c r="BC155" s="51">
        <f t="shared" si="102"/>
        <v>29.759999999999998</v>
      </c>
      <c r="BD155" s="47">
        <f t="shared" si="108"/>
        <v>5.76</v>
      </c>
      <c r="BE155" s="47">
        <f t="shared" si="103"/>
        <v>0</v>
      </c>
      <c r="BF155" s="47"/>
      <c r="BG155" s="56">
        <v>24</v>
      </c>
      <c r="BH155" s="47"/>
      <c r="BI155" s="51">
        <f t="shared" si="87"/>
        <v>0</v>
      </c>
      <c r="BJ155" s="51">
        <f t="shared" si="88"/>
        <v>0</v>
      </c>
      <c r="BK155" s="47"/>
      <c r="BL155" s="47"/>
      <c r="BM155" s="47"/>
      <c r="BN155" s="47"/>
      <c r="BO155" s="47"/>
      <c r="BP155" s="47"/>
      <c r="BQ155" s="47"/>
      <c r="BR155" s="47"/>
      <c r="BS155" s="53"/>
      <c r="BT155" s="47"/>
      <c r="BU155" s="47"/>
      <c r="BV155" s="47"/>
      <c r="BW155" s="47"/>
      <c r="BX155" s="47"/>
      <c r="BY155" s="47"/>
      <c r="BZ155" s="47"/>
      <c r="CA155" s="47"/>
      <c r="CB155" s="54">
        <f t="shared" si="89"/>
        <v>98.235500000000002</v>
      </c>
      <c r="CC155" s="47"/>
      <c r="CD155" s="57"/>
      <c r="CE155" s="47"/>
      <c r="CF155" s="47">
        <f t="shared" si="83"/>
        <v>98.235500000000002</v>
      </c>
    </row>
    <row r="156" spans="1:84" ht="14.25" customHeight="1">
      <c r="A156" s="47">
        <v>149</v>
      </c>
      <c r="B156" s="47" t="s">
        <v>129</v>
      </c>
      <c r="C156" s="75">
        <v>201006</v>
      </c>
      <c r="D156" s="49" t="s">
        <v>283</v>
      </c>
      <c r="E156" s="49" t="s">
        <v>150</v>
      </c>
      <c r="F156" s="50">
        <f t="shared" si="90"/>
        <v>8</v>
      </c>
      <c r="G156" s="50"/>
      <c r="H156" s="50"/>
      <c r="I156" s="50">
        <v>5</v>
      </c>
      <c r="J156" s="50">
        <v>3</v>
      </c>
      <c r="K156" s="50"/>
      <c r="L156" s="50"/>
      <c r="M156" s="50"/>
      <c r="N156" s="50"/>
      <c r="O156" s="50">
        <f t="shared" si="91"/>
        <v>8</v>
      </c>
      <c r="P156" s="51">
        <f t="shared" si="84"/>
        <v>119.1532</v>
      </c>
      <c r="Q156" s="51">
        <f t="shared" si="85"/>
        <v>86.473200000000006</v>
      </c>
      <c r="R156" s="47">
        <f t="shared" si="92"/>
        <v>26110</v>
      </c>
      <c r="S156" s="58"/>
      <c r="T156" s="58">
        <v>26110</v>
      </c>
      <c r="U156" s="47">
        <f t="shared" si="93"/>
        <v>31.332000000000001</v>
      </c>
      <c r="V156" s="51">
        <f t="shared" si="2"/>
        <v>0</v>
      </c>
      <c r="W156" s="47">
        <f t="shared" si="94"/>
        <v>0</v>
      </c>
      <c r="X156" s="47"/>
      <c r="Y156" s="47"/>
      <c r="Z156" s="47"/>
      <c r="AA156" s="47"/>
      <c r="AB156" s="51">
        <f t="shared" si="64"/>
        <v>11.52</v>
      </c>
      <c r="AC156" s="47">
        <f t="shared" si="95"/>
        <v>0</v>
      </c>
      <c r="AD156" s="47"/>
      <c r="AE156" s="47"/>
      <c r="AF156" s="47">
        <f t="shared" si="111"/>
        <v>11.52</v>
      </c>
      <c r="AG156" s="47">
        <v>9600</v>
      </c>
      <c r="AH156" s="47"/>
      <c r="AI156" s="47">
        <f t="shared" si="96"/>
        <v>20.72</v>
      </c>
      <c r="AJ156" s="53">
        <f t="shared" si="104"/>
        <v>10.1715</v>
      </c>
      <c r="AK156" s="53">
        <f t="shared" si="97"/>
        <v>101715</v>
      </c>
      <c r="AL156" s="47"/>
      <c r="AM156" s="47">
        <f t="shared" si="105"/>
        <v>4.4244000000000003</v>
      </c>
      <c r="AN156" s="47">
        <f t="shared" si="106"/>
        <v>4.1642000000000001</v>
      </c>
      <c r="AO156" s="47">
        <f t="shared" si="98"/>
        <v>41642</v>
      </c>
      <c r="AP156" s="47">
        <f t="shared" si="86"/>
        <v>0.26029999999999998</v>
      </c>
      <c r="AQ156" s="47">
        <f t="shared" si="99"/>
        <v>2602.9999999999995</v>
      </c>
      <c r="AR156" s="47"/>
      <c r="AS156" s="47">
        <f t="shared" si="109"/>
        <v>0.67669999999999997</v>
      </c>
      <c r="AT156" s="47">
        <f t="shared" si="110"/>
        <v>0.31230000000000002</v>
      </c>
      <c r="AU156" s="47">
        <f t="shared" si="100"/>
        <v>3123</v>
      </c>
      <c r="AV156" s="47">
        <f t="shared" si="69"/>
        <v>0.3644</v>
      </c>
      <c r="AW156" s="47">
        <f t="shared" si="101"/>
        <v>3644</v>
      </c>
      <c r="AX156" s="47">
        <f t="shared" si="107"/>
        <v>7.6285999999999996</v>
      </c>
      <c r="AY156" s="47"/>
      <c r="AZ156" s="47"/>
      <c r="BA156" s="54">
        <v>1E-4</v>
      </c>
      <c r="BB156" s="55" t="s">
        <v>283</v>
      </c>
      <c r="BC156" s="51">
        <f t="shared" si="102"/>
        <v>32.68</v>
      </c>
      <c r="BD156" s="47">
        <f t="shared" si="108"/>
        <v>7.68</v>
      </c>
      <c r="BE156" s="47">
        <f t="shared" si="103"/>
        <v>0</v>
      </c>
      <c r="BF156" s="47"/>
      <c r="BG156" s="56">
        <v>25</v>
      </c>
      <c r="BH156" s="47"/>
      <c r="BI156" s="51">
        <f t="shared" si="87"/>
        <v>0</v>
      </c>
      <c r="BJ156" s="51">
        <f t="shared" si="88"/>
        <v>0</v>
      </c>
      <c r="BK156" s="47"/>
      <c r="BL156" s="47"/>
      <c r="BM156" s="47"/>
      <c r="BN156" s="47"/>
      <c r="BO156" s="47"/>
      <c r="BP156" s="47"/>
      <c r="BQ156" s="47"/>
      <c r="BR156" s="47"/>
      <c r="BS156" s="53"/>
      <c r="BT156" s="47"/>
      <c r="BU156" s="47"/>
      <c r="BV156" s="47"/>
      <c r="BW156" s="47"/>
      <c r="BX156" s="47"/>
      <c r="BY156" s="47"/>
      <c r="BZ156" s="47"/>
      <c r="CA156" s="47"/>
      <c r="CB156" s="54">
        <f t="shared" si="89"/>
        <v>119.1532</v>
      </c>
      <c r="CC156" s="47"/>
      <c r="CD156" s="57"/>
      <c r="CE156" s="47"/>
      <c r="CF156" s="47">
        <f t="shared" si="83"/>
        <v>119.1532</v>
      </c>
    </row>
    <row r="157" spans="1:84" ht="14.25" customHeight="1">
      <c r="A157" s="47">
        <v>150</v>
      </c>
      <c r="B157" s="47" t="s">
        <v>129</v>
      </c>
      <c r="C157" s="75">
        <v>204001</v>
      </c>
      <c r="D157" s="49" t="s">
        <v>284</v>
      </c>
      <c r="E157" s="49" t="s">
        <v>150</v>
      </c>
      <c r="F157" s="50">
        <f t="shared" si="90"/>
        <v>43</v>
      </c>
      <c r="G157" s="50"/>
      <c r="H157" s="50"/>
      <c r="I157" s="50">
        <v>28</v>
      </c>
      <c r="J157" s="50">
        <v>15</v>
      </c>
      <c r="K157" s="50"/>
      <c r="L157" s="50"/>
      <c r="M157" s="50"/>
      <c r="N157" s="50">
        <v>16</v>
      </c>
      <c r="O157" s="50">
        <f t="shared" si="91"/>
        <v>59</v>
      </c>
      <c r="P157" s="51">
        <f t="shared" si="84"/>
        <v>657.7152000000001</v>
      </c>
      <c r="Q157" s="51">
        <f t="shared" si="85"/>
        <v>491.43520000000007</v>
      </c>
      <c r="R157" s="47">
        <f t="shared" si="92"/>
        <v>132795</v>
      </c>
      <c r="S157" s="58"/>
      <c r="T157" s="58">
        <v>132795</v>
      </c>
      <c r="U157" s="47">
        <f t="shared" si="93"/>
        <v>159.35400000000001</v>
      </c>
      <c r="V157" s="51">
        <f t="shared" si="2"/>
        <v>0</v>
      </c>
      <c r="W157" s="47">
        <f t="shared" si="94"/>
        <v>0</v>
      </c>
      <c r="X157" s="47"/>
      <c r="Y157" s="47"/>
      <c r="Z157" s="47"/>
      <c r="AA157" s="47"/>
      <c r="AB157" s="51">
        <f t="shared" ref="AB157:AB159" si="112">SUM(AC157:AF157)</f>
        <v>61.92</v>
      </c>
      <c r="AC157" s="47">
        <f t="shared" si="95"/>
        <v>0</v>
      </c>
      <c r="AD157" s="47"/>
      <c r="AE157" s="47"/>
      <c r="AF157" s="47">
        <f t="shared" si="111"/>
        <v>61.92</v>
      </c>
      <c r="AG157" s="47">
        <v>51600</v>
      </c>
      <c r="AH157" s="47"/>
      <c r="AI157" s="47">
        <f t="shared" si="96"/>
        <v>111.37</v>
      </c>
      <c r="AJ157" s="53">
        <f t="shared" si="104"/>
        <v>53.222999999999999</v>
      </c>
      <c r="AK157" s="53">
        <f t="shared" si="97"/>
        <v>532230</v>
      </c>
      <c r="AL157" s="47"/>
      <c r="AM157" s="47">
        <f t="shared" si="105"/>
        <v>23.131499999999999</v>
      </c>
      <c r="AN157" s="47">
        <f t="shared" si="106"/>
        <v>21.777899999999999</v>
      </c>
      <c r="AO157" s="47">
        <f t="shared" si="98"/>
        <v>217779</v>
      </c>
      <c r="AP157" s="47">
        <f t="shared" si="86"/>
        <v>1.3535999999999999</v>
      </c>
      <c r="AQ157" s="47">
        <f t="shared" si="99"/>
        <v>13536</v>
      </c>
      <c r="AR157" s="47"/>
      <c r="AS157" s="47">
        <f t="shared" si="109"/>
        <v>3.5194000000000001</v>
      </c>
      <c r="AT157" s="47">
        <f t="shared" si="110"/>
        <v>1.6243000000000001</v>
      </c>
      <c r="AU157" s="47">
        <f t="shared" si="100"/>
        <v>16243</v>
      </c>
      <c r="AV157" s="47">
        <f t="shared" si="69"/>
        <v>1.8951</v>
      </c>
      <c r="AW157" s="47">
        <f t="shared" si="101"/>
        <v>18951</v>
      </c>
      <c r="AX157" s="47">
        <f t="shared" si="107"/>
        <v>39.917299999999997</v>
      </c>
      <c r="AY157" s="47"/>
      <c r="AZ157" s="67">
        <v>39</v>
      </c>
      <c r="BA157" s="54">
        <v>1E-4</v>
      </c>
      <c r="BB157" s="55" t="s">
        <v>284</v>
      </c>
      <c r="BC157" s="51">
        <f t="shared" si="102"/>
        <v>166.28</v>
      </c>
      <c r="BD157" s="47">
        <f t="shared" si="108"/>
        <v>41.28</v>
      </c>
      <c r="BE157" s="47">
        <f t="shared" si="103"/>
        <v>0</v>
      </c>
      <c r="BF157" s="47"/>
      <c r="BG157" s="56">
        <v>125</v>
      </c>
      <c r="BH157" s="47"/>
      <c r="BI157" s="51">
        <f t="shared" si="87"/>
        <v>0</v>
      </c>
      <c r="BJ157" s="51">
        <f t="shared" si="88"/>
        <v>0</v>
      </c>
      <c r="BK157" s="47"/>
      <c r="BL157" s="47"/>
      <c r="BM157" s="47"/>
      <c r="BN157" s="47"/>
      <c r="BO157" s="47"/>
      <c r="BP157" s="47"/>
      <c r="BQ157" s="47"/>
      <c r="BR157" s="47"/>
      <c r="BS157" s="53"/>
      <c r="BT157" s="47"/>
      <c r="BU157" s="47"/>
      <c r="BV157" s="47"/>
      <c r="BW157" s="47"/>
      <c r="BX157" s="47">
        <f>222.2+17.98</f>
        <v>240.17999999999998</v>
      </c>
      <c r="BY157" s="47">
        <v>25.2</v>
      </c>
      <c r="BZ157" s="47">
        <v>89.3</v>
      </c>
      <c r="CA157" s="47"/>
      <c r="CB157" s="54">
        <f t="shared" si="89"/>
        <v>1012.3952</v>
      </c>
      <c r="CC157" s="47"/>
      <c r="CD157" s="57"/>
      <c r="CE157" s="47"/>
      <c r="CF157" s="47">
        <f t="shared" si="83"/>
        <v>1012.3952</v>
      </c>
    </row>
    <row r="158" spans="1:84">
      <c r="A158" s="47">
        <v>151</v>
      </c>
      <c r="B158" s="47" t="s">
        <v>129</v>
      </c>
      <c r="C158" s="75">
        <v>203001</v>
      </c>
      <c r="D158" s="49" t="s">
        <v>285</v>
      </c>
      <c r="E158" s="49" t="s">
        <v>141</v>
      </c>
      <c r="F158" s="50">
        <f t="shared" si="90"/>
        <v>11</v>
      </c>
      <c r="G158" s="50">
        <v>10</v>
      </c>
      <c r="H158" s="50">
        <v>1</v>
      </c>
      <c r="I158" s="50"/>
      <c r="J158" s="50"/>
      <c r="K158" s="50"/>
      <c r="L158" s="50"/>
      <c r="M158" s="50"/>
      <c r="N158" s="50">
        <v>9</v>
      </c>
      <c r="O158" s="50">
        <f t="shared" si="91"/>
        <v>20</v>
      </c>
      <c r="P158" s="51">
        <f t="shared" si="84"/>
        <v>182.94979999999998</v>
      </c>
      <c r="Q158" s="51">
        <f t="shared" si="85"/>
        <v>131.7098</v>
      </c>
      <c r="R158" s="47">
        <f t="shared" si="92"/>
        <v>41193</v>
      </c>
      <c r="S158" s="58">
        <v>41193</v>
      </c>
      <c r="T158" s="58"/>
      <c r="U158" s="47">
        <f t="shared" si="93"/>
        <v>49.431600000000003</v>
      </c>
      <c r="V158" s="51">
        <f t="shared" si="2"/>
        <v>24.75</v>
      </c>
      <c r="W158" s="47">
        <f t="shared" si="94"/>
        <v>24.75</v>
      </c>
      <c r="X158" s="47"/>
      <c r="Y158" s="47"/>
      <c r="Z158" s="47"/>
      <c r="AA158" s="47"/>
      <c r="AB158" s="51">
        <f t="shared" si="112"/>
        <v>23.3901</v>
      </c>
      <c r="AC158" s="47">
        <f t="shared" si="95"/>
        <v>4.1193</v>
      </c>
      <c r="AD158" s="47"/>
      <c r="AE158" s="47"/>
      <c r="AF158" s="47">
        <f t="shared" si="111"/>
        <v>19.270800000000001</v>
      </c>
      <c r="AG158" s="47">
        <v>16059</v>
      </c>
      <c r="AH158" s="47"/>
      <c r="AI158" s="47">
        <f t="shared" si="96"/>
        <v>0</v>
      </c>
      <c r="AJ158" s="53">
        <f t="shared" si="104"/>
        <v>15.611499999999999</v>
      </c>
      <c r="AK158" s="53">
        <f t="shared" si="97"/>
        <v>156115</v>
      </c>
      <c r="AL158" s="47"/>
      <c r="AM158" s="47">
        <f t="shared" si="105"/>
        <v>6.3728999999999996</v>
      </c>
      <c r="AN158" s="47">
        <f t="shared" si="106"/>
        <v>6.0019999999999998</v>
      </c>
      <c r="AO158" s="47">
        <f t="shared" si="98"/>
        <v>60020</v>
      </c>
      <c r="AP158" s="47">
        <f t="shared" si="86"/>
        <v>0.37090000000000001</v>
      </c>
      <c r="AQ158" s="47">
        <f t="shared" si="99"/>
        <v>3709</v>
      </c>
      <c r="AR158" s="47"/>
      <c r="AS158" s="47">
        <f t="shared" si="109"/>
        <v>0.4451</v>
      </c>
      <c r="AT158" s="47">
        <f t="shared" si="110"/>
        <v>0.4451</v>
      </c>
      <c r="AU158" s="47">
        <f t="shared" si="100"/>
        <v>4451</v>
      </c>
      <c r="AV158" s="47">
        <f t="shared" si="69"/>
        <v>0</v>
      </c>
      <c r="AW158" s="47">
        <f t="shared" si="101"/>
        <v>0</v>
      </c>
      <c r="AX158" s="47">
        <f t="shared" si="107"/>
        <v>11.708600000000001</v>
      </c>
      <c r="AY158" s="47"/>
      <c r="AZ158" s="47"/>
      <c r="BA158" s="54">
        <v>1E-4</v>
      </c>
      <c r="BB158" s="55" t="s">
        <v>285</v>
      </c>
      <c r="BC158" s="51">
        <f t="shared" si="102"/>
        <v>51.239999999999995</v>
      </c>
      <c r="BD158" s="47">
        <f t="shared" si="108"/>
        <v>13.2</v>
      </c>
      <c r="BE158" s="47">
        <f t="shared" si="103"/>
        <v>8.0399999999999991</v>
      </c>
      <c r="BF158" s="47">
        <v>6700</v>
      </c>
      <c r="BG158" s="56">
        <v>30</v>
      </c>
      <c r="BH158" s="47"/>
      <c r="BI158" s="51">
        <f t="shared" si="87"/>
        <v>0</v>
      </c>
      <c r="BJ158" s="51">
        <f t="shared" si="88"/>
        <v>0</v>
      </c>
      <c r="BK158" s="47"/>
      <c r="BL158" s="47"/>
      <c r="BM158" s="47"/>
      <c r="BN158" s="47"/>
      <c r="BO158" s="47"/>
      <c r="BP158" s="47"/>
      <c r="BQ158" s="47"/>
      <c r="BR158" s="47"/>
      <c r="BS158" s="53"/>
      <c r="BT158" s="47"/>
      <c r="BU158" s="47"/>
      <c r="BV158" s="47"/>
      <c r="BW158" s="47"/>
      <c r="BX158" s="47">
        <v>66</v>
      </c>
      <c r="BY158" s="47"/>
      <c r="BZ158" s="47"/>
      <c r="CA158" s="47"/>
      <c r="CB158" s="54">
        <f t="shared" si="89"/>
        <v>248.94979999999998</v>
      </c>
      <c r="CC158" s="47"/>
      <c r="CD158" s="57"/>
      <c r="CE158" s="47"/>
      <c r="CF158" s="47">
        <f t="shared" si="83"/>
        <v>248.94979999999998</v>
      </c>
    </row>
    <row r="159" spans="1:84">
      <c r="A159" s="47">
        <v>152</v>
      </c>
      <c r="B159" s="47" t="s">
        <v>129</v>
      </c>
      <c r="C159" s="75">
        <v>206001</v>
      </c>
      <c r="D159" s="49" t="s">
        <v>286</v>
      </c>
      <c r="E159" s="49" t="s">
        <v>150</v>
      </c>
      <c r="F159" s="50">
        <f t="shared" si="90"/>
        <v>29</v>
      </c>
      <c r="G159" s="50"/>
      <c r="H159" s="50"/>
      <c r="I159" s="50">
        <v>8</v>
      </c>
      <c r="J159" s="50">
        <v>21</v>
      </c>
      <c r="K159" s="50"/>
      <c r="L159" s="50"/>
      <c r="M159" s="50"/>
      <c r="N159" s="50">
        <v>7</v>
      </c>
      <c r="O159" s="50">
        <f t="shared" si="91"/>
        <v>36</v>
      </c>
      <c r="P159" s="51">
        <f t="shared" si="84"/>
        <v>392.76139999999998</v>
      </c>
      <c r="Q159" s="51">
        <f t="shared" si="85"/>
        <v>324.92139999999995</v>
      </c>
      <c r="R159" s="47">
        <f t="shared" si="92"/>
        <v>102659.5</v>
      </c>
      <c r="S159" s="58"/>
      <c r="T159" s="58">
        <v>102659.5</v>
      </c>
      <c r="U159" s="47">
        <f t="shared" si="93"/>
        <v>123.1914</v>
      </c>
      <c r="V159" s="51"/>
      <c r="W159" s="47">
        <f t="shared" si="94"/>
        <v>0</v>
      </c>
      <c r="X159" s="47"/>
      <c r="Y159" s="47"/>
      <c r="Z159" s="47"/>
      <c r="AA159" s="47"/>
      <c r="AB159" s="51">
        <f t="shared" si="112"/>
        <v>40.32</v>
      </c>
      <c r="AC159" s="47">
        <f t="shared" si="95"/>
        <v>0</v>
      </c>
      <c r="AD159" s="47"/>
      <c r="AE159" s="47"/>
      <c r="AF159" s="47">
        <f t="shared" si="111"/>
        <v>40.32</v>
      </c>
      <c r="AG159" s="47">
        <v>33600</v>
      </c>
      <c r="AH159" s="47"/>
      <c r="AI159" s="47">
        <f t="shared" si="96"/>
        <v>75.11</v>
      </c>
      <c r="AJ159" s="53">
        <f t="shared" si="104"/>
        <v>38.179400000000001</v>
      </c>
      <c r="AK159" s="53">
        <f t="shared" si="97"/>
        <v>381794</v>
      </c>
      <c r="AL159" s="47"/>
      <c r="AM159" s="47">
        <f t="shared" si="105"/>
        <v>16.908100000000001</v>
      </c>
      <c r="AN159" s="47">
        <f t="shared" si="106"/>
        <v>15.916600000000001</v>
      </c>
      <c r="AO159" s="47">
        <f t="shared" si="98"/>
        <v>159166</v>
      </c>
      <c r="AP159" s="47">
        <f t="shared" si="86"/>
        <v>0.99150000000000005</v>
      </c>
      <c r="AQ159" s="47">
        <f t="shared" si="99"/>
        <v>9915</v>
      </c>
      <c r="AR159" s="47"/>
      <c r="AS159" s="47">
        <f t="shared" si="109"/>
        <v>2.5779000000000001</v>
      </c>
      <c r="AT159" s="47">
        <f t="shared" si="110"/>
        <v>1.1898</v>
      </c>
      <c r="AU159" s="47">
        <f t="shared" si="100"/>
        <v>11898</v>
      </c>
      <c r="AV159" s="47">
        <f t="shared" si="69"/>
        <v>1.3880999999999999</v>
      </c>
      <c r="AW159" s="47">
        <f t="shared" si="101"/>
        <v>13880.999999999998</v>
      </c>
      <c r="AX159" s="47">
        <f t="shared" si="107"/>
        <v>28.634599999999999</v>
      </c>
      <c r="AY159" s="47"/>
      <c r="AZ159" s="47"/>
      <c r="BA159" s="54"/>
      <c r="BB159" s="49" t="s">
        <v>286</v>
      </c>
      <c r="BC159" s="51">
        <f t="shared" si="102"/>
        <v>67.84</v>
      </c>
      <c r="BD159" s="47">
        <f t="shared" si="108"/>
        <v>27.84</v>
      </c>
      <c r="BE159" s="47">
        <f t="shared" si="103"/>
        <v>0</v>
      </c>
      <c r="BF159" s="47"/>
      <c r="BG159" s="56">
        <v>40</v>
      </c>
      <c r="BH159" s="47"/>
      <c r="BI159" s="51">
        <f t="shared" si="87"/>
        <v>0</v>
      </c>
      <c r="BJ159" s="51">
        <f t="shared" si="88"/>
        <v>0</v>
      </c>
      <c r="BK159" s="47"/>
      <c r="BL159" s="47"/>
      <c r="BM159" s="47"/>
      <c r="BN159" s="47"/>
      <c r="BO159" s="47"/>
      <c r="BP159" s="47"/>
      <c r="BQ159" s="47"/>
      <c r="BR159" s="47"/>
      <c r="BS159" s="53"/>
      <c r="BT159" s="47"/>
      <c r="BU159" s="47"/>
      <c r="BV159" s="47"/>
      <c r="BW159" s="47"/>
      <c r="BX159" s="47">
        <v>60</v>
      </c>
      <c r="BY159" s="47"/>
      <c r="BZ159" s="47"/>
      <c r="CA159" s="47"/>
      <c r="CB159" s="54">
        <f t="shared" si="89"/>
        <v>452.76139999999998</v>
      </c>
      <c r="CC159" s="47"/>
      <c r="CD159" s="57"/>
      <c r="CE159" s="47"/>
      <c r="CF159" s="47">
        <f t="shared" si="83"/>
        <v>452.76139999999998</v>
      </c>
    </row>
    <row r="160" spans="1:84">
      <c r="A160" s="47">
        <v>153</v>
      </c>
      <c r="B160" s="47"/>
      <c r="C160" s="75"/>
      <c r="D160" s="49" t="s">
        <v>287</v>
      </c>
      <c r="E160" s="49"/>
      <c r="F160" s="50">
        <f>SUM(F8:F159)</f>
        <v>12097</v>
      </c>
      <c r="G160" s="50">
        <f t="shared" ref="G160:BS160" si="113">SUM(G8:G159)</f>
        <v>2205</v>
      </c>
      <c r="H160" s="50">
        <f t="shared" si="113"/>
        <v>311</v>
      </c>
      <c r="I160" s="50">
        <f t="shared" si="113"/>
        <v>8908</v>
      </c>
      <c r="J160" s="50">
        <f t="shared" si="113"/>
        <v>496</v>
      </c>
      <c r="K160" s="50">
        <f t="shared" si="113"/>
        <v>177</v>
      </c>
      <c r="L160" s="50">
        <f t="shared" si="113"/>
        <v>199</v>
      </c>
      <c r="M160" s="50">
        <f t="shared" si="113"/>
        <v>9</v>
      </c>
      <c r="N160" s="50">
        <f t="shared" si="113"/>
        <v>6175</v>
      </c>
      <c r="O160" s="50">
        <f t="shared" si="113"/>
        <v>18480</v>
      </c>
      <c r="P160" s="50">
        <f t="shared" si="113"/>
        <v>200380.59036000009</v>
      </c>
      <c r="Q160" s="50">
        <f t="shared" si="113"/>
        <v>150990.24252000003</v>
      </c>
      <c r="R160" s="50">
        <f t="shared" si="113"/>
        <v>44282384</v>
      </c>
      <c r="S160" s="50">
        <f t="shared" si="113"/>
        <v>9106447.1999999993</v>
      </c>
      <c r="T160" s="50">
        <f t="shared" si="113"/>
        <v>35175936.799999997</v>
      </c>
      <c r="U160" s="50">
        <f t="shared" si="113"/>
        <v>52978.880220000006</v>
      </c>
      <c r="V160" s="50">
        <f t="shared" si="113"/>
        <v>15959.066599999998</v>
      </c>
      <c r="W160" s="50">
        <f t="shared" si="113"/>
        <v>5661</v>
      </c>
      <c r="X160" s="50">
        <f t="shared" si="113"/>
        <v>6799.0780000000013</v>
      </c>
      <c r="Y160" s="50">
        <f t="shared" si="113"/>
        <v>2224.7200000000003</v>
      </c>
      <c r="Z160" s="50">
        <f t="shared" si="113"/>
        <v>0</v>
      </c>
      <c r="AA160" s="50">
        <f t="shared" si="113"/>
        <v>1274.2685999999999</v>
      </c>
      <c r="AB160" s="50">
        <f t="shared" si="113"/>
        <v>15264.750100000003</v>
      </c>
      <c r="AC160" s="50">
        <f t="shared" si="113"/>
        <v>873.61570000000017</v>
      </c>
      <c r="AD160" s="50">
        <f t="shared" si="113"/>
        <v>569.69999999999993</v>
      </c>
      <c r="AE160" s="50">
        <f t="shared" si="113"/>
        <v>5753.16</v>
      </c>
      <c r="AF160" s="50">
        <f t="shared" si="113"/>
        <v>8068.2744000000002</v>
      </c>
      <c r="AG160" s="50">
        <f t="shared" si="113"/>
        <v>10991962</v>
      </c>
      <c r="AH160" s="50">
        <f t="shared" si="113"/>
        <v>0</v>
      </c>
      <c r="AI160" s="50">
        <f t="shared" si="113"/>
        <v>24894.044000000005</v>
      </c>
      <c r="AJ160" s="50">
        <f t="shared" si="113"/>
        <v>15717.365400000006</v>
      </c>
      <c r="AK160" s="50">
        <f t="shared" si="113"/>
        <v>157183072</v>
      </c>
      <c r="AL160" s="50">
        <f t="shared" si="113"/>
        <v>82.835599999999999</v>
      </c>
      <c r="AM160" s="50">
        <f t="shared" si="113"/>
        <v>7244.7151999999987</v>
      </c>
      <c r="AN160" s="50">
        <f t="shared" si="113"/>
        <v>6819.9453999999996</v>
      </c>
      <c r="AO160" s="50">
        <f t="shared" si="113"/>
        <v>68203011</v>
      </c>
      <c r="AP160" s="50">
        <f t="shared" si="113"/>
        <v>420.85510000000005</v>
      </c>
      <c r="AQ160" s="50">
        <f t="shared" si="113"/>
        <v>4208773</v>
      </c>
      <c r="AR160" s="50">
        <f t="shared" si="113"/>
        <v>0</v>
      </c>
      <c r="AS160" s="50">
        <f t="shared" si="113"/>
        <v>1117.2114999999999</v>
      </c>
      <c r="AT160" s="50">
        <f t="shared" si="113"/>
        <v>644.13530000000026</v>
      </c>
      <c r="AU160" s="50">
        <f t="shared" si="113"/>
        <v>6441620</v>
      </c>
      <c r="AV160" s="50">
        <f t="shared" si="113"/>
        <v>473.07560000000001</v>
      </c>
      <c r="AW160" s="50">
        <f t="shared" si="113"/>
        <v>4731067</v>
      </c>
      <c r="AX160" s="50">
        <f t="shared" si="113"/>
        <v>11788.023899999998</v>
      </c>
      <c r="AY160" s="50">
        <f t="shared" si="113"/>
        <v>0</v>
      </c>
      <c r="AZ160" s="50">
        <f t="shared" si="113"/>
        <v>5943.35</v>
      </c>
      <c r="BA160" s="50">
        <f t="shared" si="113"/>
        <v>1.5099999999999964E-2</v>
      </c>
      <c r="BB160" s="49" t="s">
        <v>287</v>
      </c>
      <c r="BC160" s="51">
        <f t="shared" si="102"/>
        <v>34121.97</v>
      </c>
      <c r="BD160" s="50">
        <f t="shared" si="113"/>
        <v>6875.7400000000007</v>
      </c>
      <c r="BE160" s="50">
        <f t="shared" si="113"/>
        <v>1934.28</v>
      </c>
      <c r="BF160" s="50">
        <f t="shared" si="113"/>
        <v>1611900</v>
      </c>
      <c r="BG160" s="50">
        <f t="shared" si="113"/>
        <v>18928.050000000003</v>
      </c>
      <c r="BH160" s="50">
        <f t="shared" si="113"/>
        <v>6383.9</v>
      </c>
      <c r="BI160" s="50">
        <f t="shared" si="113"/>
        <v>15268.377839999999</v>
      </c>
      <c r="BJ160" s="51">
        <f t="shared" si="88"/>
        <v>188.95403999999999</v>
      </c>
      <c r="BK160" s="50">
        <f t="shared" si="113"/>
        <v>152.964</v>
      </c>
      <c r="BL160" s="50">
        <f t="shared" si="113"/>
        <v>35.990039999999993</v>
      </c>
      <c r="BM160" s="50">
        <f t="shared" si="113"/>
        <v>0</v>
      </c>
      <c r="BN160" s="50">
        <f t="shared" si="113"/>
        <v>0</v>
      </c>
      <c r="BO160" s="50">
        <f t="shared" si="113"/>
        <v>0</v>
      </c>
      <c r="BP160" s="50">
        <f t="shared" si="113"/>
        <v>854.72560000000021</v>
      </c>
      <c r="BQ160" s="50">
        <f t="shared" si="113"/>
        <v>0</v>
      </c>
      <c r="BR160" s="50">
        <f t="shared" si="113"/>
        <v>620</v>
      </c>
      <c r="BS160" s="50">
        <f t="shared" si="113"/>
        <v>2266.91</v>
      </c>
      <c r="BT160" s="50">
        <f t="shared" ref="BT160:CE160" si="114">SUM(BT8:BT159)</f>
        <v>0</v>
      </c>
      <c r="BU160" s="50">
        <f t="shared" si="114"/>
        <v>0</v>
      </c>
      <c r="BV160" s="50">
        <f t="shared" si="114"/>
        <v>0</v>
      </c>
      <c r="BW160" s="50">
        <f t="shared" si="114"/>
        <v>11337.788199999999</v>
      </c>
      <c r="BX160" s="50">
        <f t="shared" si="114"/>
        <v>18239.310000000001</v>
      </c>
      <c r="BY160" s="50">
        <f t="shared" si="114"/>
        <v>1505.2</v>
      </c>
      <c r="BZ160" s="50">
        <f t="shared" si="114"/>
        <v>120489.39000000003</v>
      </c>
      <c r="CA160" s="50">
        <f t="shared" si="114"/>
        <v>0</v>
      </c>
      <c r="CB160" s="54">
        <f t="shared" si="89"/>
        <v>340614.49036000011</v>
      </c>
      <c r="CC160" s="50">
        <f t="shared" si="114"/>
        <v>14069.45</v>
      </c>
      <c r="CD160" s="50">
        <f t="shared" si="114"/>
        <v>2894</v>
      </c>
      <c r="CE160" s="50">
        <f t="shared" si="114"/>
        <v>3669.9</v>
      </c>
      <c r="CF160" s="47">
        <f t="shared" si="83"/>
        <v>361247.84036000015</v>
      </c>
    </row>
    <row r="161" spans="1:84">
      <c r="A161" s="47">
        <v>154</v>
      </c>
      <c r="B161" s="47" t="s">
        <v>288</v>
      </c>
      <c r="C161" s="47"/>
      <c r="D161" s="49" t="s">
        <v>289</v>
      </c>
      <c r="E161" s="49"/>
      <c r="F161" s="50">
        <f t="shared" si="90"/>
        <v>0</v>
      </c>
      <c r="G161" s="50"/>
      <c r="H161" s="50"/>
      <c r="I161" s="50"/>
      <c r="J161" s="50"/>
      <c r="K161" s="50"/>
      <c r="L161" s="50"/>
      <c r="M161" s="50"/>
      <c r="N161" s="50"/>
      <c r="O161" s="50">
        <f t="shared" si="91"/>
        <v>0</v>
      </c>
      <c r="P161" s="51">
        <f>Q161+BC161+BI161</f>
        <v>2966.0520000000001</v>
      </c>
      <c r="Q161" s="51">
        <f>U161+V161+AB161+AH161+AI161+AJ161+AL161+AM161+AR161+AS161+AX161+AY161+AZ161</f>
        <v>1870</v>
      </c>
      <c r="R161" s="47">
        <f t="shared" si="92"/>
        <v>0</v>
      </c>
      <c r="S161" s="51"/>
      <c r="T161" s="51"/>
      <c r="U161" s="47">
        <f t="shared" si="93"/>
        <v>0</v>
      </c>
      <c r="V161" s="51">
        <f t="shared" ref="V161:V163" si="115">SUM(W161:AA161)</f>
        <v>100</v>
      </c>
      <c r="W161" s="47">
        <f t="shared" si="94"/>
        <v>0</v>
      </c>
      <c r="X161" s="47"/>
      <c r="Y161" s="47">
        <v>100</v>
      </c>
      <c r="Z161" s="47"/>
      <c r="AA161" s="47"/>
      <c r="AB161" s="51">
        <f>SUM(AC161:AF161)</f>
        <v>200</v>
      </c>
      <c r="AC161" s="47">
        <f t="shared" si="95"/>
        <v>0</v>
      </c>
      <c r="AD161" s="47"/>
      <c r="AE161" s="47">
        <v>200</v>
      </c>
      <c r="AF161" s="47">
        <f t="shared" si="111"/>
        <v>0</v>
      </c>
      <c r="AG161" s="47"/>
      <c r="AH161" s="47"/>
      <c r="AI161" s="47">
        <f t="shared" si="96"/>
        <v>0</v>
      </c>
      <c r="AJ161" s="53"/>
      <c r="AK161" s="53"/>
      <c r="AL161" s="47"/>
      <c r="AM161" s="47">
        <f t="shared" si="105"/>
        <v>0</v>
      </c>
      <c r="AN161" s="47"/>
      <c r="AO161" s="47"/>
      <c r="AP161" s="47"/>
      <c r="AQ161" s="47"/>
      <c r="AR161" s="47"/>
      <c r="AS161" s="47">
        <f t="shared" si="109"/>
        <v>0</v>
      </c>
      <c r="AT161" s="47"/>
      <c r="AU161" s="47"/>
      <c r="AV161" s="47"/>
      <c r="AW161" s="47"/>
      <c r="AX161" s="47"/>
      <c r="AY161" s="47">
        <v>500</v>
      </c>
      <c r="AZ161" s="47">
        <v>1070</v>
      </c>
      <c r="BA161" s="54"/>
      <c r="BB161" s="49" t="s">
        <v>289</v>
      </c>
      <c r="BC161" s="51">
        <f t="shared" si="102"/>
        <v>347.61200000000002</v>
      </c>
      <c r="BD161" s="57"/>
      <c r="BE161" s="47">
        <f t="shared" si="103"/>
        <v>0</v>
      </c>
      <c r="BF161" s="47"/>
      <c r="BG161" s="47">
        <v>347.61200000000002</v>
      </c>
      <c r="BH161" s="47"/>
      <c r="BI161" s="51">
        <f>BJ161+BN161+BO161+BP161+BQ161+BS161+BT161+BU161+BV161+BW161+BR161</f>
        <v>748.44</v>
      </c>
      <c r="BJ161" s="51">
        <f>BK161+BM161</f>
        <v>58.44</v>
      </c>
      <c r="BK161" s="47">
        <v>58.44</v>
      </c>
      <c r="BL161" s="47"/>
      <c r="BM161" s="47"/>
      <c r="BN161" s="47"/>
      <c r="BO161" s="47"/>
      <c r="BP161" s="47"/>
      <c r="BQ161" s="47"/>
      <c r="BR161" s="47"/>
      <c r="BS161" s="53"/>
      <c r="BT161" s="47">
        <f>100+56</f>
        <v>156</v>
      </c>
      <c r="BU161" s="47"/>
      <c r="BV161" s="47"/>
      <c r="BW161" s="47">
        <f>590-56</f>
        <v>534</v>
      </c>
      <c r="BX161" s="47">
        <v>3737.395</v>
      </c>
      <c r="BY161" s="47"/>
      <c r="BZ161" s="47"/>
      <c r="CA161" s="47"/>
      <c r="CB161" s="54">
        <f t="shared" si="89"/>
        <v>6703.4470000000001</v>
      </c>
      <c r="CC161" s="47"/>
      <c r="CD161" s="57"/>
      <c r="CE161" s="47"/>
      <c r="CF161" s="47">
        <f t="shared" si="83"/>
        <v>6703.4470000000001</v>
      </c>
    </row>
    <row r="162" spans="1:84">
      <c r="A162" s="47">
        <v>155</v>
      </c>
      <c r="B162" s="47" t="s">
        <v>288</v>
      </c>
      <c r="C162" s="47"/>
      <c r="D162" s="49" t="s">
        <v>290</v>
      </c>
      <c r="E162" s="49"/>
      <c r="F162" s="50">
        <f t="shared" si="90"/>
        <v>0</v>
      </c>
      <c r="G162" s="50"/>
      <c r="H162" s="50"/>
      <c r="I162" s="50"/>
      <c r="J162" s="50"/>
      <c r="K162" s="50"/>
      <c r="L162" s="50"/>
      <c r="M162" s="50"/>
      <c r="N162" s="50"/>
      <c r="O162" s="50">
        <f t="shared" si="91"/>
        <v>0</v>
      </c>
      <c r="P162" s="51">
        <f>Q162+BC162+BI162</f>
        <v>7931</v>
      </c>
      <c r="Q162" s="51">
        <f>U162+V162+AB162+AH162+AI162+AJ162+AL162+AM162+AR162+AS162+AX162+AY162+AZ162</f>
        <v>7908</v>
      </c>
      <c r="R162" s="47">
        <f t="shared" si="92"/>
        <v>0</v>
      </c>
      <c r="S162" s="51"/>
      <c r="T162" s="51"/>
      <c r="U162" s="47">
        <f t="shared" si="93"/>
        <v>0</v>
      </c>
      <c r="V162" s="51">
        <f t="shared" si="115"/>
        <v>0</v>
      </c>
      <c r="W162" s="47">
        <f t="shared" si="94"/>
        <v>0</v>
      </c>
      <c r="X162" s="47"/>
      <c r="Y162" s="47"/>
      <c r="Z162" s="47"/>
      <c r="AA162" s="47"/>
      <c r="AB162" s="51">
        <f>SUM(AC162:AF162)</f>
        <v>0</v>
      </c>
      <c r="AC162" s="47">
        <f t="shared" si="95"/>
        <v>0</v>
      </c>
      <c r="AD162" s="47"/>
      <c r="AE162" s="47"/>
      <c r="AF162" s="47">
        <f t="shared" si="111"/>
        <v>0</v>
      </c>
      <c r="AG162" s="47"/>
      <c r="AH162" s="47"/>
      <c r="AI162" s="47">
        <f t="shared" si="96"/>
        <v>0</v>
      </c>
      <c r="AJ162" s="53">
        <f t="shared" si="104"/>
        <v>0</v>
      </c>
      <c r="AK162" s="53"/>
      <c r="AL162" s="47"/>
      <c r="AM162" s="47">
        <f t="shared" si="105"/>
        <v>0</v>
      </c>
      <c r="AN162" s="47"/>
      <c r="AO162" s="47"/>
      <c r="AP162" s="47"/>
      <c r="AQ162" s="47"/>
      <c r="AR162" s="47"/>
      <c r="AS162" s="47">
        <f t="shared" si="109"/>
        <v>0</v>
      </c>
      <c r="AT162" s="47"/>
      <c r="AU162" s="47"/>
      <c r="AV162" s="47"/>
      <c r="AW162" s="47"/>
      <c r="AX162" s="47">
        <f t="shared" si="107"/>
        <v>0</v>
      </c>
      <c r="AY162" s="47"/>
      <c r="AZ162" s="47">
        <v>7908</v>
      </c>
      <c r="BA162" s="54"/>
      <c r="BB162" s="49" t="s">
        <v>290</v>
      </c>
      <c r="BC162" s="51">
        <f t="shared" si="102"/>
        <v>0</v>
      </c>
      <c r="BD162" s="57"/>
      <c r="BE162" s="47">
        <f t="shared" si="103"/>
        <v>0</v>
      </c>
      <c r="BF162" s="47"/>
      <c r="BG162" s="47"/>
      <c r="BH162" s="47"/>
      <c r="BI162" s="51">
        <f>BJ162+BN162+BO162+BP162+BQ162+BS162+BT162+BU162+BV162+BW162+BR162</f>
        <v>23</v>
      </c>
      <c r="BJ162" s="51">
        <f>BK162+BM162</f>
        <v>0</v>
      </c>
      <c r="BK162" s="47"/>
      <c r="BL162" s="47"/>
      <c r="BM162" s="47"/>
      <c r="BN162" s="47"/>
      <c r="BO162" s="47"/>
      <c r="BP162" s="47"/>
      <c r="BQ162" s="47"/>
      <c r="BR162" s="47"/>
      <c r="BS162" s="53"/>
      <c r="BT162" s="47"/>
      <c r="BU162" s="47"/>
      <c r="BV162" s="47"/>
      <c r="BW162" s="47">
        <v>23</v>
      </c>
      <c r="BX162" s="47">
        <v>4911.8999999999996</v>
      </c>
      <c r="BY162" s="47"/>
      <c r="BZ162" s="47"/>
      <c r="CA162" s="47"/>
      <c r="CB162" s="54">
        <f t="shared" si="89"/>
        <v>12842.9</v>
      </c>
      <c r="CC162" s="47"/>
      <c r="CD162" s="57"/>
      <c r="CE162" s="47"/>
      <c r="CF162" s="47">
        <f t="shared" si="83"/>
        <v>12842.9</v>
      </c>
    </row>
    <row r="163" spans="1:84" s="81" customFormat="1">
      <c r="A163" s="47">
        <v>156</v>
      </c>
      <c r="B163" s="47" t="s">
        <v>288</v>
      </c>
      <c r="C163" s="47"/>
      <c r="D163" s="80" t="s">
        <v>291</v>
      </c>
      <c r="E163" s="80"/>
      <c r="F163" s="50">
        <f t="shared" si="90"/>
        <v>12</v>
      </c>
      <c r="G163" s="50"/>
      <c r="H163" s="50"/>
      <c r="I163" s="50">
        <v>12</v>
      </c>
      <c r="J163" s="50"/>
      <c r="K163" s="50"/>
      <c r="L163" s="50">
        <f>462+168+847</f>
        <v>1477</v>
      </c>
      <c r="M163" s="50"/>
      <c r="N163" s="50">
        <f>153+113+372+2+8</f>
        <v>648</v>
      </c>
      <c r="O163" s="50">
        <f t="shared" si="91"/>
        <v>2137</v>
      </c>
      <c r="P163" s="51">
        <f>Q163+BC163+BI163</f>
        <v>48396.598000000005</v>
      </c>
      <c r="Q163" s="51">
        <f>U163+V163+AB163+AH163+AI163+AJ163+AL163+AM163+AR163+AS163+AX163+AY163+AZ163</f>
        <v>19028</v>
      </c>
      <c r="R163" s="47">
        <f t="shared" si="92"/>
        <v>3500000</v>
      </c>
      <c r="S163" s="51">
        <v>1000000</v>
      </c>
      <c r="T163" s="51">
        <v>2500000</v>
      </c>
      <c r="U163" s="47">
        <v>3200</v>
      </c>
      <c r="V163" s="51">
        <f t="shared" si="115"/>
        <v>1550</v>
      </c>
      <c r="W163" s="47">
        <v>850</v>
      </c>
      <c r="X163" s="47">
        <v>200</v>
      </c>
      <c r="Y163" s="47"/>
      <c r="Z163" s="47">
        <v>500</v>
      </c>
      <c r="AA163" s="47"/>
      <c r="AB163" s="51">
        <f>SUM(AC163:AF163)</f>
        <v>5268</v>
      </c>
      <c r="AC163" s="47">
        <f t="shared" si="95"/>
        <v>100</v>
      </c>
      <c r="AD163" s="47">
        <f>100+368</f>
        <v>468</v>
      </c>
      <c r="AE163" s="47"/>
      <c r="AF163" s="47">
        <v>4700</v>
      </c>
      <c r="AG163" s="47">
        <f>17667*F163/12</f>
        <v>17667</v>
      </c>
      <c r="AH163" s="47"/>
      <c r="AI163" s="47">
        <v>4000</v>
      </c>
      <c r="AJ163" s="53">
        <v>1500</v>
      </c>
      <c r="AK163" s="53"/>
      <c r="AL163" s="47">
        <v>1500</v>
      </c>
      <c r="AM163" s="47">
        <v>650</v>
      </c>
      <c r="AN163" s="47"/>
      <c r="AO163" s="47"/>
      <c r="AP163" s="47"/>
      <c r="AQ163" s="47"/>
      <c r="AR163" s="47"/>
      <c r="AS163" s="47">
        <f>110+100</f>
        <v>210</v>
      </c>
      <c r="AT163" s="47">
        <v>60</v>
      </c>
      <c r="AU163" s="47"/>
      <c r="AV163" s="47">
        <v>50</v>
      </c>
      <c r="AW163" s="47"/>
      <c r="AX163" s="47">
        <v>950</v>
      </c>
      <c r="AY163" s="47"/>
      <c r="AZ163" s="47">
        <f>200</f>
        <v>200</v>
      </c>
      <c r="BA163" s="47"/>
      <c r="BB163" s="80" t="s">
        <v>291</v>
      </c>
      <c r="BC163" s="51">
        <f t="shared" si="102"/>
        <v>9993.58</v>
      </c>
      <c r="BD163" s="47">
        <v>300</v>
      </c>
      <c r="BE163" s="47">
        <f>200-10.92</f>
        <v>189.08</v>
      </c>
      <c r="BF163" s="47"/>
      <c r="BG163" s="47">
        <v>4500</v>
      </c>
      <c r="BH163" s="47">
        <v>5004.5</v>
      </c>
      <c r="BI163" s="51">
        <f>BJ163+BN163+BO163+BP163+BQ163+BS163+BT163+BU163+BV163+BW163+BR163</f>
        <v>19375.018000000004</v>
      </c>
      <c r="BJ163" s="51">
        <f>BK163+BM163+BL163</f>
        <v>11179.69</v>
      </c>
      <c r="BK163" s="47">
        <f>134.69+45</f>
        <v>179.69</v>
      </c>
      <c r="BL163" s="47">
        <f>5500+2500</f>
        <v>8000</v>
      </c>
      <c r="BM163" s="47">
        <v>3000</v>
      </c>
      <c r="BN163" s="47">
        <v>20</v>
      </c>
      <c r="BO163" s="47">
        <v>800</v>
      </c>
      <c r="BP163" s="47">
        <v>150.34800000000001</v>
      </c>
      <c r="BQ163" s="47"/>
      <c r="BR163" s="47">
        <f>50+1638.4</f>
        <v>1688.4</v>
      </c>
      <c r="BS163" s="53"/>
      <c r="BT163" s="47">
        <v>800</v>
      </c>
      <c r="BU163" s="47"/>
      <c r="BV163" s="47">
        <v>200</v>
      </c>
      <c r="BW163" s="47">
        <f>295+300+193.33+25+54+24.25+875+2770</f>
        <v>4536.58</v>
      </c>
      <c r="BX163" s="47">
        <f>75670.56-100+70</f>
        <v>75640.56</v>
      </c>
      <c r="BY163" s="47">
        <f>114.9+20</f>
        <v>134.9</v>
      </c>
      <c r="BZ163" s="47">
        <v>91336.84</v>
      </c>
      <c r="CA163" s="47"/>
      <c r="CB163" s="54">
        <f t="shared" si="89"/>
        <v>215508.89799999999</v>
      </c>
      <c r="CC163" s="47">
        <f>124213+202+29219-70000</f>
        <v>83634</v>
      </c>
      <c r="CD163" s="57"/>
      <c r="CE163" s="47"/>
      <c r="CF163" s="47">
        <f t="shared" si="83"/>
        <v>299142.89799999999</v>
      </c>
    </row>
    <row r="164" spans="1:84">
      <c r="A164" s="82"/>
      <c r="B164" s="83"/>
      <c r="C164" s="83"/>
      <c r="D164" s="84" t="s">
        <v>72</v>
      </c>
      <c r="E164" s="84"/>
      <c r="F164" s="83">
        <f>F160+F161+F162+F163</f>
        <v>12109</v>
      </c>
      <c r="G164" s="83">
        <f t="shared" ref="G164:BR164" si="116">G160+G161+G162+G163</f>
        <v>2205</v>
      </c>
      <c r="H164" s="83">
        <f t="shared" si="116"/>
        <v>311</v>
      </c>
      <c r="I164" s="83">
        <f t="shared" si="116"/>
        <v>8920</v>
      </c>
      <c r="J164" s="83">
        <f t="shared" si="116"/>
        <v>496</v>
      </c>
      <c r="K164" s="83">
        <f t="shared" si="116"/>
        <v>177</v>
      </c>
      <c r="L164" s="83">
        <f t="shared" si="116"/>
        <v>1676</v>
      </c>
      <c r="M164" s="83">
        <f t="shared" si="116"/>
        <v>9</v>
      </c>
      <c r="N164" s="83">
        <f t="shared" si="116"/>
        <v>6823</v>
      </c>
      <c r="O164" s="83">
        <f t="shared" si="116"/>
        <v>20617</v>
      </c>
      <c r="P164" s="83">
        <f t="shared" si="116"/>
        <v>259674.24036000008</v>
      </c>
      <c r="Q164" s="83">
        <f t="shared" si="116"/>
        <v>179796.24252000003</v>
      </c>
      <c r="R164" s="83">
        <f t="shared" si="116"/>
        <v>47782384</v>
      </c>
      <c r="S164" s="83">
        <f t="shared" si="116"/>
        <v>10106447.199999999</v>
      </c>
      <c r="T164" s="83">
        <f t="shared" si="116"/>
        <v>37675936.799999997</v>
      </c>
      <c r="U164" s="83">
        <f t="shared" si="116"/>
        <v>56178.880220000006</v>
      </c>
      <c r="V164" s="83">
        <f t="shared" si="116"/>
        <v>17609.066599999998</v>
      </c>
      <c r="W164" s="83">
        <f t="shared" si="116"/>
        <v>6511</v>
      </c>
      <c r="X164" s="83">
        <f t="shared" si="116"/>
        <v>6999.0780000000013</v>
      </c>
      <c r="Y164" s="83">
        <f t="shared" si="116"/>
        <v>2324.7200000000003</v>
      </c>
      <c r="Z164" s="83">
        <f t="shared" si="116"/>
        <v>500</v>
      </c>
      <c r="AA164" s="83">
        <f t="shared" si="116"/>
        <v>1274.2685999999999</v>
      </c>
      <c r="AB164" s="83">
        <f t="shared" si="116"/>
        <v>20732.750100000005</v>
      </c>
      <c r="AC164" s="83">
        <f t="shared" si="116"/>
        <v>973.61570000000017</v>
      </c>
      <c r="AD164" s="83">
        <f t="shared" si="116"/>
        <v>1037.6999999999998</v>
      </c>
      <c r="AE164" s="83">
        <f t="shared" si="116"/>
        <v>5953.16</v>
      </c>
      <c r="AF164" s="83">
        <f t="shared" si="116"/>
        <v>12768.2744</v>
      </c>
      <c r="AG164" s="83">
        <f t="shared" si="116"/>
        <v>11009629</v>
      </c>
      <c r="AH164" s="83">
        <f t="shared" si="116"/>
        <v>0</v>
      </c>
      <c r="AI164" s="83">
        <f t="shared" si="116"/>
        <v>28894.044000000005</v>
      </c>
      <c r="AJ164" s="83">
        <f t="shared" si="116"/>
        <v>17217.365400000006</v>
      </c>
      <c r="AK164" s="83">
        <f t="shared" si="116"/>
        <v>157183072</v>
      </c>
      <c r="AL164" s="83">
        <f t="shared" si="116"/>
        <v>1582.8355999999999</v>
      </c>
      <c r="AM164" s="83">
        <f t="shared" si="116"/>
        <v>7894.7151999999987</v>
      </c>
      <c r="AN164" s="83">
        <f t="shared" si="116"/>
        <v>6819.9453999999996</v>
      </c>
      <c r="AO164" s="83">
        <f t="shared" si="116"/>
        <v>68203011</v>
      </c>
      <c r="AP164" s="83">
        <f t="shared" si="116"/>
        <v>420.85510000000005</v>
      </c>
      <c r="AQ164" s="83">
        <f t="shared" si="116"/>
        <v>4208773</v>
      </c>
      <c r="AR164" s="83">
        <f t="shared" si="116"/>
        <v>0</v>
      </c>
      <c r="AS164" s="83">
        <f t="shared" si="116"/>
        <v>1327.2114999999999</v>
      </c>
      <c r="AT164" s="83">
        <f t="shared" si="116"/>
        <v>704.13530000000026</v>
      </c>
      <c r="AU164" s="83">
        <f t="shared" si="116"/>
        <v>6441620</v>
      </c>
      <c r="AV164" s="83">
        <f t="shared" si="116"/>
        <v>523.07560000000001</v>
      </c>
      <c r="AW164" s="83">
        <f t="shared" si="116"/>
        <v>4731067</v>
      </c>
      <c r="AX164" s="83">
        <f t="shared" si="116"/>
        <v>12738.023899999998</v>
      </c>
      <c r="AY164" s="83">
        <f t="shared" si="116"/>
        <v>500</v>
      </c>
      <c r="AZ164" s="83">
        <f t="shared" si="116"/>
        <v>15121.35</v>
      </c>
      <c r="BA164" s="83">
        <f t="shared" si="116"/>
        <v>1.5099999999999964E-2</v>
      </c>
      <c r="BB164" s="83" t="s">
        <v>72</v>
      </c>
      <c r="BC164" s="83">
        <f>BC160+BC161+BC162+BC163</f>
        <v>44463.162000000004</v>
      </c>
      <c r="BD164" s="83">
        <f t="shared" si="116"/>
        <v>7175.7400000000007</v>
      </c>
      <c r="BE164" s="83">
        <f t="shared" si="116"/>
        <v>2123.36</v>
      </c>
      <c r="BF164" s="83">
        <f t="shared" si="116"/>
        <v>1611900</v>
      </c>
      <c r="BG164" s="83">
        <f t="shared" si="116"/>
        <v>23775.662000000004</v>
      </c>
      <c r="BH164" s="83">
        <f t="shared" si="116"/>
        <v>11388.4</v>
      </c>
      <c r="BI164" s="83">
        <f t="shared" si="116"/>
        <v>35414.83584</v>
      </c>
      <c r="BJ164" s="83">
        <f t="shared" si="116"/>
        <v>11427.08404</v>
      </c>
      <c r="BK164" s="83">
        <f t="shared" si="116"/>
        <v>391.09399999999999</v>
      </c>
      <c r="BL164" s="83">
        <f t="shared" si="116"/>
        <v>8035.9900399999997</v>
      </c>
      <c r="BM164" s="83">
        <f t="shared" si="116"/>
        <v>3000</v>
      </c>
      <c r="BN164" s="83">
        <f t="shared" si="116"/>
        <v>20</v>
      </c>
      <c r="BO164" s="83">
        <f t="shared" si="116"/>
        <v>800</v>
      </c>
      <c r="BP164" s="83">
        <f t="shared" si="116"/>
        <v>1005.0736000000002</v>
      </c>
      <c r="BQ164" s="83">
        <f t="shared" si="116"/>
        <v>0</v>
      </c>
      <c r="BR164" s="83">
        <f t="shared" si="116"/>
        <v>2308.4</v>
      </c>
      <c r="BS164" s="83">
        <f t="shared" ref="BS164:CF164" si="117">BS160+BS161+BS162+BS163</f>
        <v>2266.91</v>
      </c>
      <c r="BT164" s="83">
        <f t="shared" si="117"/>
        <v>956</v>
      </c>
      <c r="BU164" s="83">
        <f t="shared" si="117"/>
        <v>0</v>
      </c>
      <c r="BV164" s="83">
        <f t="shared" si="117"/>
        <v>200</v>
      </c>
      <c r="BW164" s="83">
        <f t="shared" si="117"/>
        <v>16431.368199999997</v>
      </c>
      <c r="BX164" s="83">
        <f t="shared" si="117"/>
        <v>102529.16500000001</v>
      </c>
      <c r="BY164" s="83">
        <f t="shared" si="117"/>
        <v>1640.1000000000001</v>
      </c>
      <c r="BZ164" s="83">
        <f t="shared" si="117"/>
        <v>211826.23000000004</v>
      </c>
      <c r="CA164" s="83">
        <f t="shared" si="117"/>
        <v>0</v>
      </c>
      <c r="CB164" s="83">
        <f t="shared" si="117"/>
        <v>575669.73536000005</v>
      </c>
      <c r="CC164" s="83">
        <f t="shared" si="117"/>
        <v>97703.45</v>
      </c>
      <c r="CD164" s="83">
        <f t="shared" si="117"/>
        <v>2894</v>
      </c>
      <c r="CE164" s="83">
        <f t="shared" si="117"/>
        <v>3669.9</v>
      </c>
      <c r="CF164" s="83">
        <f t="shared" si="117"/>
        <v>679937.08536000014</v>
      </c>
    </row>
  </sheetData>
  <autoFilter ref="A6:CF164"/>
  <mergeCells count="65">
    <mergeCell ref="M3:M6"/>
    <mergeCell ref="A1:AZ1"/>
    <mergeCell ref="BB1:CF1"/>
    <mergeCell ref="A2:D2"/>
    <mergeCell ref="AS2:AZ2"/>
    <mergeCell ref="BX2:CB2"/>
    <mergeCell ref="CC2:CF2"/>
    <mergeCell ref="A3:A6"/>
    <mergeCell ref="B3:B6"/>
    <mergeCell ref="D3:D6"/>
    <mergeCell ref="F3:F6"/>
    <mergeCell ref="L3:L6"/>
    <mergeCell ref="CC3:CC6"/>
    <mergeCell ref="CD3:CD6"/>
    <mergeCell ref="CE3:CE6"/>
    <mergeCell ref="CF3:CF6"/>
    <mergeCell ref="N3:N6"/>
    <mergeCell ref="O3:O6"/>
    <mergeCell ref="P3:BW3"/>
    <mergeCell ref="BX3:BX6"/>
    <mergeCell ref="BY3:BY6"/>
    <mergeCell ref="BP5:BP6"/>
    <mergeCell ref="BQ5:BQ6"/>
    <mergeCell ref="BR5:BR6"/>
    <mergeCell ref="BS5:BS6"/>
    <mergeCell ref="BT5:BT6"/>
    <mergeCell ref="BF5:BF6"/>
    <mergeCell ref="BG5:BG6"/>
    <mergeCell ref="BH5:BH6"/>
    <mergeCell ref="BI5:BI6"/>
    <mergeCell ref="BJ5:BM5"/>
    <mergeCell ref="BN5:BN6"/>
    <mergeCell ref="P4:P6"/>
    <mergeCell ref="Q4:AZ4"/>
    <mergeCell ref="BB4:BB6"/>
    <mergeCell ref="BC4:BG4"/>
    <mergeCell ref="BI4:BW4"/>
    <mergeCell ref="Q5:Q6"/>
    <mergeCell ref="R5:R6"/>
    <mergeCell ref="S5:S6"/>
    <mergeCell ref="T5:T6"/>
    <mergeCell ref="U5:U6"/>
    <mergeCell ref="V5:AA5"/>
    <mergeCell ref="AB5:AB6"/>
    <mergeCell ref="AG5:AG6"/>
    <mergeCell ref="AH5:AH6"/>
    <mergeCell ref="BO5:BO6"/>
    <mergeCell ref="AS5:AS6"/>
    <mergeCell ref="AX5:AX6"/>
    <mergeCell ref="AY5:AY6"/>
    <mergeCell ref="AZ5:AZ6"/>
    <mergeCell ref="BU5:BU6"/>
    <mergeCell ref="AI5:AI6"/>
    <mergeCell ref="AJ5:AJ6"/>
    <mergeCell ref="AL5:AL6"/>
    <mergeCell ref="AM5:AM6"/>
    <mergeCell ref="AR5:AR6"/>
    <mergeCell ref="CA3:CA6"/>
    <mergeCell ref="CB3:CB6"/>
    <mergeCell ref="BW5:BW6"/>
    <mergeCell ref="BC5:BC6"/>
    <mergeCell ref="BD5:BD6"/>
    <mergeCell ref="BE5:BE6"/>
    <mergeCell ref="BV5:BV6"/>
    <mergeCell ref="BZ3:BZ6"/>
  </mergeCells>
  <phoneticPr fontId="2" type="noConversion"/>
  <printOptions horizontalCentered="1"/>
  <pageMargins left="0.118110236220472" right="0.118110236220472" top="0.70866141732283505" bottom="0.27559055118110198" header="0.31496062992126" footer="0.118110236220472"/>
  <pageSetup paperSize="9" pageOrder="overThenDown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164"/>
  <sheetViews>
    <sheetView showZeros="0" workbookViewId="0">
      <pane xSplit="4" ySplit="6" topLeftCell="AI115" activePane="bottomRight" state="frozen"/>
      <selection pane="topRight"/>
      <selection pane="bottomLeft"/>
      <selection pane="bottomRight" activeCell="AS135" sqref="AS135"/>
    </sheetView>
  </sheetViews>
  <sheetFormatPr defaultColWidth="9" defaultRowHeight="14.25"/>
  <cols>
    <col min="1" max="1" width="2.625" style="34" customWidth="1"/>
    <col min="2" max="2" width="3.25" style="34" customWidth="1"/>
    <col min="3" max="3" width="6.875" style="34" customWidth="1"/>
    <col min="4" max="4" width="12.625" style="85" customWidth="1"/>
    <col min="5" max="5" width="4.75" style="85" customWidth="1"/>
    <col min="6" max="6" width="7.25" style="81" customWidth="1"/>
    <col min="7" max="11" width="3.5" style="81" customWidth="1"/>
    <col min="12" max="14" width="3.625" style="81" customWidth="1"/>
    <col min="15" max="15" width="6.75" style="34" customWidth="1"/>
    <col min="16" max="16" width="13" style="34" customWidth="1"/>
    <col min="17" max="17" width="14.125" style="34" customWidth="1"/>
    <col min="18" max="18" width="7.25" style="34" hidden="1" customWidth="1"/>
    <col min="19" max="19" width="5.875" style="34" hidden="1" customWidth="1"/>
    <col min="20" max="20" width="7.25" style="34" hidden="1" customWidth="1"/>
    <col min="21" max="21" width="14.125" style="81" customWidth="1"/>
    <col min="22" max="22" width="5.75" style="34" customWidth="1"/>
    <col min="23" max="23" width="5.25" style="34" customWidth="1"/>
    <col min="24" max="26" width="4.5" style="34" customWidth="1"/>
    <col min="27" max="27" width="4.375" style="34" customWidth="1"/>
    <col min="28" max="28" width="5" style="34" customWidth="1"/>
    <col min="29" max="29" width="10.375" style="34" customWidth="1"/>
    <col min="30" max="30" width="4.875" style="34" customWidth="1"/>
    <col min="31" max="31" width="5.25" style="34" customWidth="1"/>
    <col min="32" max="32" width="5.625" style="34" customWidth="1"/>
    <col min="33" max="33" width="5.125" style="34" hidden="1" customWidth="1"/>
    <col min="34" max="34" width="6.75" style="34" hidden="1" customWidth="1"/>
    <col min="35" max="35" width="12.375" style="34" customWidth="1"/>
    <col min="36" max="36" width="5.25" style="34" customWidth="1"/>
    <col min="37" max="37" width="9.625" style="34" hidden="1" customWidth="1"/>
    <col min="38" max="39" width="5.25" style="34" customWidth="1"/>
    <col min="40" max="40" width="6.625" style="34" hidden="1" customWidth="1"/>
    <col min="41" max="41" width="6" style="34" hidden="1" customWidth="1"/>
    <col min="42" max="42" width="6.375" style="34" hidden="1" customWidth="1"/>
    <col min="43" max="44" width="6" style="34" hidden="1" customWidth="1"/>
    <col min="45" max="45" width="5.5" style="34" customWidth="1"/>
    <col min="46" max="46" width="6.5" style="34" hidden="1" customWidth="1"/>
    <col min="47" max="47" width="6" style="34" hidden="1" customWidth="1"/>
    <col min="48" max="48" width="7.25" style="34" hidden="1" customWidth="1"/>
    <col min="49" max="49" width="6" style="34" hidden="1" customWidth="1"/>
    <col min="50" max="50" width="5.75" style="34" customWidth="1"/>
    <col min="51" max="51" width="3.875" style="34" customWidth="1"/>
    <col min="52" max="52" width="4.375" style="81" customWidth="1"/>
    <col min="53" max="53" width="0.375" style="81" customWidth="1"/>
    <col min="54" max="54" width="11.75" style="85" customWidth="1"/>
    <col min="55" max="55" width="5.75" style="34" customWidth="1"/>
    <col min="56" max="56" width="13.25" style="34" customWidth="1"/>
    <col min="57" max="57" width="3.875" style="34" customWidth="1"/>
    <col min="58" max="58" width="7.5" style="34" hidden="1" customWidth="1"/>
    <col min="59" max="59" width="5.125" style="34" customWidth="1"/>
    <col min="60" max="60" width="4.625" style="34" customWidth="1"/>
    <col min="61" max="61" width="5.5" style="34" customWidth="1"/>
    <col min="62" max="62" width="4.875" style="34" customWidth="1"/>
    <col min="63" max="63" width="15.5" style="34" customWidth="1"/>
    <col min="64" max="64" width="11.125" style="34" customWidth="1"/>
    <col min="65" max="65" width="4.125" style="34" customWidth="1"/>
    <col min="66" max="66" width="4" style="34" customWidth="1"/>
    <col min="67" max="67" width="3.5" style="34" customWidth="1"/>
    <col min="68" max="68" width="4.75" style="34" customWidth="1"/>
    <col min="69" max="69" width="3.375" style="34" hidden="1" customWidth="1"/>
    <col min="70" max="70" width="4.375" style="34" customWidth="1"/>
    <col min="71" max="71" width="4.5" style="87" customWidth="1"/>
    <col min="72" max="72" width="3.625" style="34" customWidth="1"/>
    <col min="73" max="73" width="2.625" style="34" hidden="1" customWidth="1"/>
    <col min="74" max="74" width="3.5" style="34" customWidth="1"/>
    <col min="75" max="75" width="4.75" style="34" customWidth="1"/>
    <col min="76" max="76" width="5.25" style="34" customWidth="1"/>
    <col min="77" max="77" width="5.375" style="34" customWidth="1"/>
    <col min="78" max="78" width="4.75" style="34" customWidth="1"/>
    <col min="79" max="79" width="4.25" style="34" hidden="1" customWidth="1"/>
    <col min="80" max="80" width="5.875" style="34" customWidth="1"/>
    <col min="81" max="81" width="4.375" style="34" customWidth="1"/>
    <col min="82" max="82" width="4.5" style="86" customWidth="1"/>
    <col min="83" max="83" width="4.625" style="34" customWidth="1"/>
    <col min="84" max="84" width="7.125" style="34" customWidth="1"/>
    <col min="85" max="16384" width="9" style="34"/>
  </cols>
  <sheetData>
    <row r="1" spans="1:84" ht="29.1" customHeight="1">
      <c r="A1" s="215" t="s">
        <v>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33"/>
      <c r="BB1" s="215" t="s">
        <v>292</v>
      </c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6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</row>
    <row r="2" spans="1:84" ht="20.100000000000001" customHeight="1">
      <c r="A2" s="217" t="s">
        <v>48</v>
      </c>
      <c r="B2" s="217"/>
      <c r="C2" s="217"/>
      <c r="D2" s="217"/>
      <c r="E2" s="35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218" t="s">
        <v>9</v>
      </c>
      <c r="AT2" s="218"/>
      <c r="AU2" s="218"/>
      <c r="AV2" s="218"/>
      <c r="AW2" s="218"/>
      <c r="AX2" s="218"/>
      <c r="AY2" s="218"/>
      <c r="AZ2" s="218"/>
      <c r="BA2" s="39"/>
      <c r="BB2" s="40" t="s">
        <v>48</v>
      </c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41"/>
      <c r="BT2" s="38"/>
      <c r="BU2" s="38"/>
      <c r="BV2" s="38"/>
      <c r="BW2" s="42"/>
      <c r="BX2" s="219"/>
      <c r="BY2" s="219"/>
      <c r="BZ2" s="219"/>
      <c r="CA2" s="219"/>
      <c r="CB2" s="219"/>
      <c r="CC2" s="219" t="s">
        <v>49</v>
      </c>
      <c r="CD2" s="219"/>
      <c r="CE2" s="219"/>
      <c r="CF2" s="219"/>
    </row>
    <row r="3" spans="1:84" ht="15.75" customHeight="1">
      <c r="A3" s="220" t="s">
        <v>50</v>
      </c>
      <c r="B3" s="220" t="s">
        <v>51</v>
      </c>
      <c r="C3" s="43"/>
      <c r="D3" s="210" t="s">
        <v>52</v>
      </c>
      <c r="E3" s="44"/>
      <c r="F3" s="211" t="s">
        <v>53</v>
      </c>
      <c r="G3" s="45"/>
      <c r="H3" s="45"/>
      <c r="I3" s="45"/>
      <c r="J3" s="45"/>
      <c r="K3" s="45"/>
      <c r="L3" s="211" t="s">
        <v>54</v>
      </c>
      <c r="M3" s="211" t="s">
        <v>55</v>
      </c>
      <c r="N3" s="211" t="s">
        <v>56</v>
      </c>
      <c r="O3" s="210" t="s">
        <v>57</v>
      </c>
      <c r="P3" s="210" t="s">
        <v>58</v>
      </c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2"/>
      <c r="BT3" s="210"/>
      <c r="BU3" s="210"/>
      <c r="BV3" s="210"/>
      <c r="BW3" s="210"/>
      <c r="BX3" s="210" t="s">
        <v>59</v>
      </c>
      <c r="BY3" s="210" t="s">
        <v>60</v>
      </c>
      <c r="BZ3" s="222" t="s">
        <v>61</v>
      </c>
      <c r="CA3" s="210" t="s">
        <v>62</v>
      </c>
      <c r="CB3" s="210" t="s">
        <v>63</v>
      </c>
      <c r="CC3" s="210" t="s">
        <v>64</v>
      </c>
      <c r="CD3" s="221" t="s">
        <v>65</v>
      </c>
      <c r="CE3" s="210" t="s">
        <v>66</v>
      </c>
      <c r="CF3" s="210" t="s">
        <v>67</v>
      </c>
    </row>
    <row r="4" spans="1:84" ht="35.25" customHeight="1">
      <c r="A4" s="220"/>
      <c r="B4" s="220"/>
      <c r="C4" s="43"/>
      <c r="D4" s="210"/>
      <c r="E4" s="44"/>
      <c r="F4" s="211"/>
      <c r="G4" s="45"/>
      <c r="H4" s="45"/>
      <c r="I4" s="45"/>
      <c r="J4" s="45"/>
      <c r="K4" s="45"/>
      <c r="L4" s="211"/>
      <c r="M4" s="211"/>
      <c r="N4" s="211"/>
      <c r="O4" s="210"/>
      <c r="P4" s="210" t="s">
        <v>68</v>
      </c>
      <c r="Q4" s="211" t="s">
        <v>69</v>
      </c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45"/>
      <c r="BB4" s="210" t="s">
        <v>52</v>
      </c>
      <c r="BC4" s="211" t="s">
        <v>70</v>
      </c>
      <c r="BD4" s="211"/>
      <c r="BE4" s="211"/>
      <c r="BF4" s="211"/>
      <c r="BG4" s="211"/>
      <c r="BH4" s="45"/>
      <c r="BI4" s="210" t="s">
        <v>71</v>
      </c>
      <c r="BJ4" s="210"/>
      <c r="BK4" s="210"/>
      <c r="BL4" s="210"/>
      <c r="BM4" s="210"/>
      <c r="BN4" s="210"/>
      <c r="BO4" s="210"/>
      <c r="BP4" s="210"/>
      <c r="BQ4" s="210"/>
      <c r="BR4" s="210"/>
      <c r="BS4" s="212"/>
      <c r="BT4" s="210"/>
      <c r="BU4" s="210"/>
      <c r="BV4" s="210"/>
      <c r="BW4" s="210"/>
      <c r="BX4" s="210"/>
      <c r="BY4" s="210"/>
      <c r="BZ4" s="223"/>
      <c r="CA4" s="210"/>
      <c r="CB4" s="210"/>
      <c r="CC4" s="210"/>
      <c r="CD4" s="221"/>
      <c r="CE4" s="210"/>
      <c r="CF4" s="210"/>
    </row>
    <row r="5" spans="1:84" ht="25.5" customHeight="1">
      <c r="A5" s="220"/>
      <c r="B5" s="220"/>
      <c r="C5" s="43"/>
      <c r="D5" s="210"/>
      <c r="E5" s="44"/>
      <c r="F5" s="211"/>
      <c r="G5" s="45"/>
      <c r="H5" s="45"/>
      <c r="I5" s="45"/>
      <c r="J5" s="45"/>
      <c r="K5" s="45"/>
      <c r="L5" s="211"/>
      <c r="M5" s="211"/>
      <c r="N5" s="211"/>
      <c r="O5" s="210"/>
      <c r="P5" s="210"/>
      <c r="Q5" s="210" t="s">
        <v>72</v>
      </c>
      <c r="R5" s="210" t="s">
        <v>73</v>
      </c>
      <c r="S5" s="210" t="s">
        <v>74</v>
      </c>
      <c r="T5" s="210" t="s">
        <v>75</v>
      </c>
      <c r="U5" s="210" t="s">
        <v>76</v>
      </c>
      <c r="V5" s="210" t="s">
        <v>77</v>
      </c>
      <c r="W5" s="210"/>
      <c r="X5" s="210"/>
      <c r="Y5" s="210"/>
      <c r="Z5" s="210"/>
      <c r="AA5" s="210"/>
      <c r="AB5" s="210" t="s">
        <v>78</v>
      </c>
      <c r="AC5" s="46"/>
      <c r="AD5" s="46"/>
      <c r="AE5" s="46"/>
      <c r="AF5" s="46"/>
      <c r="AG5" s="210" t="s">
        <v>79</v>
      </c>
      <c r="AH5" s="210" t="s">
        <v>80</v>
      </c>
      <c r="AI5" s="211" t="s">
        <v>81</v>
      </c>
      <c r="AJ5" s="211" t="s">
        <v>82</v>
      </c>
      <c r="AK5" s="45"/>
      <c r="AL5" s="211" t="s">
        <v>83</v>
      </c>
      <c r="AM5" s="211" t="s">
        <v>84</v>
      </c>
      <c r="AN5" s="45"/>
      <c r="AO5" s="45"/>
      <c r="AP5" s="45"/>
      <c r="AQ5" s="45"/>
      <c r="AR5" s="211" t="s">
        <v>85</v>
      </c>
      <c r="AS5" s="211" t="s">
        <v>86</v>
      </c>
      <c r="AT5" s="45"/>
      <c r="AU5" s="45"/>
      <c r="AV5" s="45"/>
      <c r="AW5" s="45"/>
      <c r="AX5" s="211" t="s">
        <v>87</v>
      </c>
      <c r="AY5" s="211" t="s">
        <v>88</v>
      </c>
      <c r="AZ5" s="211" t="s">
        <v>89</v>
      </c>
      <c r="BA5" s="45"/>
      <c r="BB5" s="210"/>
      <c r="BC5" s="211" t="s">
        <v>72</v>
      </c>
      <c r="BD5" s="211" t="s">
        <v>90</v>
      </c>
      <c r="BE5" s="211" t="s">
        <v>91</v>
      </c>
      <c r="BF5" s="211" t="s">
        <v>92</v>
      </c>
      <c r="BG5" s="211" t="s">
        <v>93</v>
      </c>
      <c r="BH5" s="213" t="s">
        <v>94</v>
      </c>
      <c r="BI5" s="211" t="s">
        <v>72</v>
      </c>
      <c r="BJ5" s="210" t="s">
        <v>95</v>
      </c>
      <c r="BK5" s="210"/>
      <c r="BL5" s="210"/>
      <c r="BM5" s="210"/>
      <c r="BN5" s="210" t="s">
        <v>96</v>
      </c>
      <c r="BO5" s="210" t="s">
        <v>97</v>
      </c>
      <c r="BP5" s="210" t="s">
        <v>98</v>
      </c>
      <c r="BQ5" s="210" t="s">
        <v>99</v>
      </c>
      <c r="BR5" s="210" t="s">
        <v>100</v>
      </c>
      <c r="BS5" s="212" t="s">
        <v>101</v>
      </c>
      <c r="BT5" s="210" t="s">
        <v>102</v>
      </c>
      <c r="BU5" s="210" t="s">
        <v>103</v>
      </c>
      <c r="BV5" s="210" t="s">
        <v>104</v>
      </c>
      <c r="BW5" s="210" t="s">
        <v>105</v>
      </c>
      <c r="BX5" s="210"/>
      <c r="BY5" s="210"/>
      <c r="BZ5" s="223"/>
      <c r="CA5" s="210"/>
      <c r="CB5" s="210"/>
      <c r="CC5" s="210"/>
      <c r="CD5" s="221"/>
      <c r="CE5" s="210"/>
      <c r="CF5" s="210"/>
    </row>
    <row r="6" spans="1:84" ht="85.5" customHeight="1">
      <c r="A6" s="220"/>
      <c r="B6" s="220"/>
      <c r="C6" s="43"/>
      <c r="D6" s="210"/>
      <c r="E6" s="44" t="s">
        <v>106</v>
      </c>
      <c r="F6" s="211"/>
      <c r="G6" s="45" t="s">
        <v>107</v>
      </c>
      <c r="H6" s="45" t="s">
        <v>108</v>
      </c>
      <c r="I6" s="45" t="s">
        <v>109</v>
      </c>
      <c r="J6" s="45" t="s">
        <v>110</v>
      </c>
      <c r="K6" s="45" t="s">
        <v>111</v>
      </c>
      <c r="L6" s="211"/>
      <c r="M6" s="211"/>
      <c r="N6" s="211"/>
      <c r="O6" s="210"/>
      <c r="P6" s="210"/>
      <c r="Q6" s="210"/>
      <c r="R6" s="210"/>
      <c r="S6" s="210"/>
      <c r="T6" s="210"/>
      <c r="U6" s="210"/>
      <c r="V6" s="44" t="s">
        <v>112</v>
      </c>
      <c r="W6" s="44" t="s">
        <v>113</v>
      </c>
      <c r="X6" s="44" t="s">
        <v>114</v>
      </c>
      <c r="Y6" s="44" t="s">
        <v>115</v>
      </c>
      <c r="Z6" s="44" t="s">
        <v>116</v>
      </c>
      <c r="AA6" s="44" t="s">
        <v>117</v>
      </c>
      <c r="AB6" s="210"/>
      <c r="AC6" s="46" t="s">
        <v>118</v>
      </c>
      <c r="AD6" s="46" t="s">
        <v>119</v>
      </c>
      <c r="AE6" s="46" t="s">
        <v>120</v>
      </c>
      <c r="AF6" s="46" t="s">
        <v>121</v>
      </c>
      <c r="AG6" s="210"/>
      <c r="AH6" s="210"/>
      <c r="AI6" s="211"/>
      <c r="AJ6" s="211"/>
      <c r="AK6" s="45"/>
      <c r="AL6" s="211"/>
      <c r="AM6" s="211"/>
      <c r="AN6" s="45" t="s">
        <v>122</v>
      </c>
      <c r="AO6" s="45"/>
      <c r="AP6" s="45" t="s">
        <v>123</v>
      </c>
      <c r="AQ6" s="45"/>
      <c r="AR6" s="211"/>
      <c r="AS6" s="211"/>
      <c r="AT6" s="45" t="s">
        <v>124</v>
      </c>
      <c r="AU6" s="45"/>
      <c r="AV6" s="45" t="s">
        <v>125</v>
      </c>
      <c r="AW6" s="45"/>
      <c r="AX6" s="211"/>
      <c r="AY6" s="211"/>
      <c r="AZ6" s="211"/>
      <c r="BA6" s="45"/>
      <c r="BB6" s="210"/>
      <c r="BC6" s="211"/>
      <c r="BD6" s="211"/>
      <c r="BE6" s="211"/>
      <c r="BF6" s="211"/>
      <c r="BG6" s="211"/>
      <c r="BH6" s="214"/>
      <c r="BI6" s="211"/>
      <c r="BJ6" s="44" t="s">
        <v>112</v>
      </c>
      <c r="BK6" s="44" t="s">
        <v>126</v>
      </c>
      <c r="BL6" s="44" t="s">
        <v>127</v>
      </c>
      <c r="BM6" s="44" t="s">
        <v>128</v>
      </c>
      <c r="BN6" s="210"/>
      <c r="BO6" s="210"/>
      <c r="BP6" s="210"/>
      <c r="BQ6" s="210"/>
      <c r="BR6" s="210"/>
      <c r="BS6" s="212"/>
      <c r="BT6" s="210"/>
      <c r="BU6" s="210"/>
      <c r="BV6" s="210"/>
      <c r="BW6" s="210"/>
      <c r="BX6" s="210"/>
      <c r="BY6" s="210"/>
      <c r="BZ6" s="224"/>
      <c r="CA6" s="210"/>
      <c r="CB6" s="210"/>
      <c r="CC6" s="210"/>
      <c r="CD6" s="221"/>
      <c r="CE6" s="210"/>
      <c r="CF6" s="210"/>
    </row>
    <row r="7" spans="1:84" ht="16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43">
        <v>38</v>
      </c>
      <c r="AM7" s="43">
        <v>39</v>
      </c>
      <c r="AN7" s="43">
        <v>40</v>
      </c>
      <c r="AO7" s="43">
        <v>41</v>
      </c>
      <c r="AP7" s="43">
        <v>42</v>
      </c>
      <c r="AQ7" s="43">
        <v>43</v>
      </c>
      <c r="AR7" s="43">
        <v>44</v>
      </c>
      <c r="AS7" s="43">
        <v>45</v>
      </c>
      <c r="AT7" s="43">
        <v>46</v>
      </c>
      <c r="AU7" s="43">
        <v>47</v>
      </c>
      <c r="AV7" s="43">
        <v>48</v>
      </c>
      <c r="AW7" s="43">
        <v>49</v>
      </c>
      <c r="AX7" s="43">
        <v>50</v>
      </c>
      <c r="AY7" s="43">
        <v>51</v>
      </c>
      <c r="AZ7" s="43">
        <v>52</v>
      </c>
      <c r="BA7" s="43">
        <v>53</v>
      </c>
      <c r="BB7" s="43">
        <v>54</v>
      </c>
      <c r="BC7" s="43">
        <v>55</v>
      </c>
      <c r="BD7" s="43">
        <v>56</v>
      </c>
      <c r="BE7" s="43">
        <v>57</v>
      </c>
      <c r="BF7" s="43">
        <v>58</v>
      </c>
      <c r="BG7" s="43">
        <v>59</v>
      </c>
      <c r="BH7" s="43">
        <v>60</v>
      </c>
      <c r="BI7" s="43">
        <v>61</v>
      </c>
      <c r="BJ7" s="43">
        <v>62</v>
      </c>
      <c r="BK7" s="43">
        <v>63</v>
      </c>
      <c r="BL7" s="43">
        <v>64</v>
      </c>
      <c r="BM7" s="43">
        <v>65</v>
      </c>
      <c r="BN7" s="43">
        <v>66</v>
      </c>
      <c r="BO7" s="43">
        <v>67</v>
      </c>
      <c r="BP7" s="43">
        <v>68</v>
      </c>
      <c r="BQ7" s="43">
        <v>69</v>
      </c>
      <c r="BR7" s="43">
        <v>70</v>
      </c>
      <c r="BS7" s="43">
        <v>71</v>
      </c>
      <c r="BT7" s="43">
        <v>72</v>
      </c>
      <c r="BU7" s="43">
        <v>73</v>
      </c>
      <c r="BV7" s="43">
        <v>74</v>
      </c>
      <c r="BW7" s="43">
        <v>75</v>
      </c>
      <c r="BX7" s="43">
        <v>76</v>
      </c>
      <c r="BY7" s="43">
        <v>77</v>
      </c>
      <c r="BZ7" s="43">
        <v>78</v>
      </c>
      <c r="CA7" s="43">
        <v>79</v>
      </c>
      <c r="CB7" s="43">
        <v>80</v>
      </c>
      <c r="CC7" s="43">
        <v>81</v>
      </c>
      <c r="CD7" s="43">
        <v>82</v>
      </c>
      <c r="CE7" s="43">
        <v>83</v>
      </c>
      <c r="CF7" s="43">
        <v>84</v>
      </c>
    </row>
    <row r="8" spans="1:84" ht="14.25" customHeight="1">
      <c r="A8" s="47">
        <v>1</v>
      </c>
      <c r="B8" s="47" t="s">
        <v>129</v>
      </c>
      <c r="C8" s="48">
        <v>101001</v>
      </c>
      <c r="D8" s="49" t="s">
        <v>130</v>
      </c>
      <c r="E8" s="49" t="s">
        <v>131</v>
      </c>
      <c r="F8" s="50">
        <f>SUM(G8:K8)</f>
        <v>43</v>
      </c>
      <c r="G8" s="50">
        <v>35</v>
      </c>
      <c r="H8" s="50">
        <v>8</v>
      </c>
      <c r="I8" s="50"/>
      <c r="J8" s="50"/>
      <c r="K8" s="50"/>
      <c r="L8" s="50"/>
      <c r="M8" s="50"/>
      <c r="N8" s="50">
        <v>26</v>
      </c>
      <c r="O8" s="50">
        <f>F8+L8+M8+N8</f>
        <v>69</v>
      </c>
      <c r="P8" s="51">
        <f t="shared" ref="P8:P71" si="0">Q8+BC8+BI8</f>
        <v>956.64509999999996</v>
      </c>
      <c r="Q8" s="51">
        <f t="shared" ref="Q8:Q71" si="1">U8+V8+AB8+AH8+AI8+AJ8+AL8+AM8+AR8+AS8+AX8+AY8+AZ8</f>
        <v>514.89710000000002</v>
      </c>
      <c r="R8" s="47">
        <f>S8+T8</f>
        <v>159756</v>
      </c>
      <c r="S8" s="52">
        <v>159756</v>
      </c>
      <c r="T8" s="47"/>
      <c r="U8" s="47">
        <f>ROUND(R8*12/10000,5)</f>
        <v>191.7072</v>
      </c>
      <c r="V8" s="51">
        <f t="shared" ref="V8:V158" si="2">SUM(W8:AA8)</f>
        <v>96.75</v>
      </c>
      <c r="W8" s="47">
        <f>ROUND((G8+H8)*2.25,4)</f>
        <v>96.75</v>
      </c>
      <c r="X8" s="47"/>
      <c r="Y8" s="47"/>
      <c r="Z8" s="47"/>
      <c r="AA8" s="47"/>
      <c r="AB8" s="51">
        <f>SUM(AC8:AF8)</f>
        <v>91.74</v>
      </c>
      <c r="AC8" s="47">
        <f>ROUND(S8/10000,4)</f>
        <v>15.9756</v>
      </c>
      <c r="AD8" s="47"/>
      <c r="AE8" s="47"/>
      <c r="AF8" s="47">
        <f>ROUND(AG8*12/10000,4)</f>
        <v>75.764399999999995</v>
      </c>
      <c r="AG8" s="47">
        <v>63137</v>
      </c>
      <c r="AH8" s="47"/>
      <c r="AI8" s="47">
        <f>ROUND(2.59*(I8+J8+K8),4)</f>
        <v>0</v>
      </c>
      <c r="AJ8" s="53">
        <f>ROUND((U8+W8+AC8+AE8+AF8+AI8)*0.16,4)</f>
        <v>60.831600000000002</v>
      </c>
      <c r="AK8" s="53">
        <f>AJ8*10000</f>
        <v>608316</v>
      </c>
      <c r="AL8" s="47"/>
      <c r="AM8" s="47">
        <f t="shared" ref="AM8:AM71" si="3">ROUND(((U8+W8+AI8)*0.085+N8*0.0075),4)</f>
        <v>24.713899999999999</v>
      </c>
      <c r="AN8" s="47">
        <f t="shared" ref="AN8:AN71" si="4">ROUND(((U8+W8+AI8)*0.08+N8*0.0075),4)</f>
        <v>23.271599999999999</v>
      </c>
      <c r="AO8" s="47">
        <f>AN8*10000</f>
        <v>232716</v>
      </c>
      <c r="AP8" s="47">
        <f t="shared" ref="AP8:AP71" si="5">ROUND(((U8+W8+AI8)*0.005),4)</f>
        <v>1.4422999999999999</v>
      </c>
      <c r="AQ8" s="47">
        <f>AP8*10000</f>
        <v>14423</v>
      </c>
      <c r="AR8" s="47"/>
      <c r="AS8" s="47">
        <f>ROUND(((T8*12/10000+AI8)*0.007+(U8+W8+AI8)*0.006),4)</f>
        <v>1.7306999999999999</v>
      </c>
      <c r="AT8" s="47">
        <f t="shared" ref="AT8:AT71" si="6">ROUND(((U8+W8+AI8)*0.006),4)</f>
        <v>1.7306999999999999</v>
      </c>
      <c r="AU8" s="47">
        <f>AT8*10000</f>
        <v>17307</v>
      </c>
      <c r="AV8" s="47">
        <f t="shared" ref="AV8:AV71" si="7">ROUND(((T8*12/10000+AI8)*0.007),4)</f>
        <v>0</v>
      </c>
      <c r="AW8" s="47">
        <f>AV8*10000</f>
        <v>0</v>
      </c>
      <c r="AX8" s="47">
        <f t="shared" ref="AX8:AX71" si="8">ROUND((U8+W8+AC8+AE8+AF8+AI8)*0.12,4)</f>
        <v>45.623699999999999</v>
      </c>
      <c r="AY8" s="47"/>
      <c r="AZ8" s="47">
        <v>1.8</v>
      </c>
      <c r="BA8" s="54">
        <v>1E-4</v>
      </c>
      <c r="BB8" s="55" t="s">
        <v>130</v>
      </c>
      <c r="BC8" s="51">
        <f>BD8+BE8+BG8+BH8</f>
        <v>439.92399999999998</v>
      </c>
      <c r="BD8" s="47">
        <f t="shared" ref="BD8:BD29" si="9">1.2*(G8+H8)+0.96*(I8+J8)</f>
        <v>51.6</v>
      </c>
      <c r="BE8" s="47">
        <f>ROUND(BF8*12/10000,4)</f>
        <v>33.323999999999998</v>
      </c>
      <c r="BF8" s="47">
        <v>27770</v>
      </c>
      <c r="BG8" s="56">
        <v>355</v>
      </c>
      <c r="BH8" s="47"/>
      <c r="BI8" s="51">
        <f t="shared" ref="BI8:BI71" si="10">BJ8+BN8+BO8+BP8+BQ8+BS8+BT8+BU8+BV8+BW8+BR8</f>
        <v>1.8240000000000001</v>
      </c>
      <c r="BJ8" s="51">
        <f t="shared" ref="BJ8:BJ71" si="11">BL8+BM8+BK8</f>
        <v>0</v>
      </c>
      <c r="BK8" s="47"/>
      <c r="BL8" s="47"/>
      <c r="BM8" s="47"/>
      <c r="BN8" s="47"/>
      <c r="BO8" s="47"/>
      <c r="BP8" s="47">
        <v>1.8240000000000001</v>
      </c>
      <c r="BQ8" s="47"/>
      <c r="BR8" s="47"/>
      <c r="BS8" s="53"/>
      <c r="BT8" s="47"/>
      <c r="BU8" s="47"/>
      <c r="BV8" s="47"/>
      <c r="BW8" s="47"/>
      <c r="BX8" s="47">
        <v>18</v>
      </c>
      <c r="BY8" s="47"/>
      <c r="BZ8" s="47"/>
      <c r="CA8" s="47"/>
      <c r="CB8" s="54">
        <f t="shared" ref="CB8:CB39" si="12">P8+BX8+BZ8+BY8+CA8</f>
        <v>974.64509999999996</v>
      </c>
      <c r="CC8" s="47"/>
      <c r="CD8" s="57"/>
      <c r="CE8" s="47"/>
      <c r="CF8" s="47">
        <f t="shared" ref="CF8:CF71" si="13">SUM(CB8:CE8)</f>
        <v>974.64509999999996</v>
      </c>
    </row>
    <row r="9" spans="1:84" ht="14.25" customHeight="1">
      <c r="A9" s="47">
        <v>2</v>
      </c>
      <c r="B9" s="47" t="s">
        <v>129</v>
      </c>
      <c r="C9" s="48">
        <v>103001</v>
      </c>
      <c r="D9" s="49" t="s">
        <v>132</v>
      </c>
      <c r="E9" s="49" t="s">
        <v>131</v>
      </c>
      <c r="F9" s="50">
        <f t="shared" ref="F9:F72" si="14">SUM(G9:K9)</f>
        <v>54</v>
      </c>
      <c r="G9" s="50">
        <v>45</v>
      </c>
      <c r="H9" s="50">
        <v>6</v>
      </c>
      <c r="I9" s="50">
        <v>3</v>
      </c>
      <c r="J9" s="50"/>
      <c r="K9" s="50"/>
      <c r="L9" s="50"/>
      <c r="M9" s="50">
        <v>1</v>
      </c>
      <c r="N9" s="50">
        <v>36</v>
      </c>
      <c r="O9" s="50">
        <f t="shared" ref="O9:O72" si="15">F9+L9+M9+N9</f>
        <v>91</v>
      </c>
      <c r="P9" s="51">
        <f t="shared" si="0"/>
        <v>1092.7037</v>
      </c>
      <c r="Q9" s="51">
        <f t="shared" si="1"/>
        <v>723.21270000000004</v>
      </c>
      <c r="R9" s="47">
        <f t="shared" ref="R9:R72" si="16">S9+T9</f>
        <v>238281</v>
      </c>
      <c r="S9" s="58">
        <v>231792</v>
      </c>
      <c r="T9" s="51">
        <v>6489</v>
      </c>
      <c r="U9" s="47">
        <f t="shared" ref="U9:U72" si="17">ROUND(R9*12/10000,5)</f>
        <v>285.93720000000002</v>
      </c>
      <c r="V9" s="51">
        <f t="shared" si="2"/>
        <v>114.75</v>
      </c>
      <c r="W9" s="47">
        <f t="shared" ref="W9:W72" si="18">ROUND((G9+H9)*2.25,4)</f>
        <v>114.75</v>
      </c>
      <c r="X9" s="47"/>
      <c r="Y9" s="47"/>
      <c r="Z9" s="47"/>
      <c r="AA9" s="47"/>
      <c r="AB9" s="51">
        <f t="shared" ref="AB9:AB72" si="19">SUM(AC9:AF9)</f>
        <v>127.21799999999999</v>
      </c>
      <c r="AC9" s="47">
        <f t="shared" ref="AC9:AC72" si="20">ROUND(S9/10000,4)</f>
        <v>23.179200000000002</v>
      </c>
      <c r="AD9" s="47"/>
      <c r="AE9" s="47"/>
      <c r="AF9" s="47">
        <f t="shared" ref="AF9:AF72" si="21">ROUND(AG9*12/10000,4)</f>
        <v>104.03879999999999</v>
      </c>
      <c r="AG9" s="47">
        <v>86699</v>
      </c>
      <c r="AH9" s="47"/>
      <c r="AI9" s="47">
        <f t="shared" ref="AI9:AI72" si="22">ROUND(2.59*(I9+J9+K9),4)</f>
        <v>7.77</v>
      </c>
      <c r="AJ9" s="53">
        <f t="shared" ref="AJ9:AJ72" si="23">ROUND((U9+W9+AC9+AE9+AF9+AI9)*0.16,4)</f>
        <v>85.707999999999998</v>
      </c>
      <c r="AK9" s="53">
        <f t="shared" ref="AK9:AK72" si="24">AJ9*10000</f>
        <v>857080</v>
      </c>
      <c r="AL9" s="47"/>
      <c r="AM9" s="47">
        <f t="shared" si="3"/>
        <v>34.988900000000001</v>
      </c>
      <c r="AN9" s="47">
        <f t="shared" si="4"/>
        <v>32.946599999999997</v>
      </c>
      <c r="AO9" s="47">
        <f t="shared" ref="AO9:AO72" si="25">AN9*10000</f>
        <v>329465.99999999994</v>
      </c>
      <c r="AP9" s="47">
        <f t="shared" si="5"/>
        <v>2.0423</v>
      </c>
      <c r="AQ9" s="47">
        <f t="shared" ref="AQ9:AQ72" si="26">AP9*10000</f>
        <v>20423</v>
      </c>
      <c r="AR9" s="47"/>
      <c r="AS9" s="47">
        <f t="shared" ref="AS9:AS72" si="27">ROUND(((T9*12/10000+AI9)*0.007+(U9+W9+AI9)*0.006),4)</f>
        <v>2.5596000000000001</v>
      </c>
      <c r="AT9" s="47">
        <f t="shared" si="6"/>
        <v>2.4506999999999999</v>
      </c>
      <c r="AU9" s="47">
        <f t="shared" ref="AU9:AU72" si="28">AT9*10000</f>
        <v>24507</v>
      </c>
      <c r="AV9" s="47">
        <f t="shared" si="7"/>
        <v>0.1089</v>
      </c>
      <c r="AW9" s="47">
        <f t="shared" ref="AW9:AW72" si="29">AV9*10000</f>
        <v>1089</v>
      </c>
      <c r="AX9" s="47">
        <f t="shared" si="8"/>
        <v>64.281000000000006</v>
      </c>
      <c r="AY9" s="47"/>
      <c r="AZ9" s="47"/>
      <c r="BA9" s="54">
        <v>1E-4</v>
      </c>
      <c r="BB9" s="55" t="s">
        <v>132</v>
      </c>
      <c r="BC9" s="51">
        <f t="shared" ref="BC9:BC72" si="30">BD9+BE9+BG9+BH9</f>
        <v>363.24799999999999</v>
      </c>
      <c r="BD9" s="47">
        <f t="shared" si="9"/>
        <v>64.08</v>
      </c>
      <c r="BE9" s="47">
        <f t="shared" ref="BE9:BE72" si="31">ROUND(BF9*12/10000,4)</f>
        <v>48.167999999999999</v>
      </c>
      <c r="BF9" s="47">
        <v>40140</v>
      </c>
      <c r="BG9" s="56">
        <f>221+30</f>
        <v>251</v>
      </c>
      <c r="BH9" s="47"/>
      <c r="BI9" s="51">
        <f t="shared" si="10"/>
        <v>6.2430000000000003</v>
      </c>
      <c r="BJ9" s="51">
        <f t="shared" si="11"/>
        <v>3.2669999999999999</v>
      </c>
      <c r="BK9" s="47"/>
      <c r="BL9" s="47">
        <v>3.2669999999999999</v>
      </c>
      <c r="BM9" s="47"/>
      <c r="BN9" s="47"/>
      <c r="BO9" s="47"/>
      <c r="BP9" s="47">
        <v>2.976</v>
      </c>
      <c r="BQ9" s="47"/>
      <c r="BR9" s="47"/>
      <c r="BS9" s="53"/>
      <c r="BT9" s="47"/>
      <c r="BU9" s="47"/>
      <c r="BV9" s="47"/>
      <c r="BW9" s="47"/>
      <c r="BX9" s="47"/>
      <c r="BY9" s="47"/>
      <c r="BZ9" s="47"/>
      <c r="CA9" s="47"/>
      <c r="CB9" s="54">
        <f t="shared" si="12"/>
        <v>1092.7037</v>
      </c>
      <c r="CC9" s="47"/>
      <c r="CD9" s="57"/>
      <c r="CE9" s="47"/>
      <c r="CF9" s="47">
        <f t="shared" si="13"/>
        <v>1092.7037</v>
      </c>
    </row>
    <row r="10" spans="1:84" ht="14.25" customHeight="1">
      <c r="A10" s="47">
        <v>3</v>
      </c>
      <c r="B10" s="47" t="s">
        <v>129</v>
      </c>
      <c r="C10" s="48">
        <v>102001</v>
      </c>
      <c r="D10" s="49" t="s">
        <v>133</v>
      </c>
      <c r="E10" s="49" t="s">
        <v>131</v>
      </c>
      <c r="F10" s="50">
        <f t="shared" si="14"/>
        <v>55</v>
      </c>
      <c r="G10" s="50">
        <v>37</v>
      </c>
      <c r="H10" s="50">
        <v>6</v>
      </c>
      <c r="I10" s="50">
        <v>12</v>
      </c>
      <c r="J10" s="50"/>
      <c r="K10" s="50"/>
      <c r="L10" s="50"/>
      <c r="M10" s="50"/>
      <c r="N10" s="50">
        <v>27</v>
      </c>
      <c r="O10" s="50">
        <f t="shared" si="15"/>
        <v>82</v>
      </c>
      <c r="P10" s="51">
        <f t="shared" si="0"/>
        <v>1131.6686999999999</v>
      </c>
      <c r="Q10" s="51">
        <f t="shared" si="1"/>
        <v>689.10069999999996</v>
      </c>
      <c r="R10" s="47">
        <f t="shared" si="16"/>
        <v>220744</v>
      </c>
      <c r="S10" s="52">
        <v>182096</v>
      </c>
      <c r="T10" s="47">
        <v>38648</v>
      </c>
      <c r="U10" s="47">
        <f t="shared" si="17"/>
        <v>264.89280000000002</v>
      </c>
      <c r="V10" s="51">
        <f t="shared" si="2"/>
        <v>96.75</v>
      </c>
      <c r="W10" s="47">
        <f t="shared" si="18"/>
        <v>96.75</v>
      </c>
      <c r="X10" s="47"/>
      <c r="Y10" s="47"/>
      <c r="Z10" s="47"/>
      <c r="AA10" s="47"/>
      <c r="AB10" s="51">
        <f t="shared" si="19"/>
        <v>117.1352</v>
      </c>
      <c r="AC10" s="47">
        <f t="shared" si="20"/>
        <v>18.209599999999998</v>
      </c>
      <c r="AD10" s="47"/>
      <c r="AE10" s="47"/>
      <c r="AF10" s="47">
        <f t="shared" si="21"/>
        <v>98.925600000000003</v>
      </c>
      <c r="AG10" s="47">
        <v>82438</v>
      </c>
      <c r="AH10" s="47"/>
      <c r="AI10" s="47">
        <f t="shared" si="22"/>
        <v>31.08</v>
      </c>
      <c r="AJ10" s="53">
        <f t="shared" si="23"/>
        <v>81.577299999999994</v>
      </c>
      <c r="AK10" s="53">
        <f t="shared" si="24"/>
        <v>815772.99999999988</v>
      </c>
      <c r="AL10" s="47"/>
      <c r="AM10" s="47">
        <f t="shared" si="3"/>
        <v>33.5839</v>
      </c>
      <c r="AN10" s="47">
        <f t="shared" si="4"/>
        <v>31.6203</v>
      </c>
      <c r="AO10" s="47">
        <f t="shared" si="25"/>
        <v>316203</v>
      </c>
      <c r="AP10" s="47">
        <f t="shared" si="5"/>
        <v>1.9636</v>
      </c>
      <c r="AQ10" s="47">
        <f t="shared" si="26"/>
        <v>19636</v>
      </c>
      <c r="AR10" s="47"/>
      <c r="AS10" s="47">
        <f t="shared" si="27"/>
        <v>2.8984999999999999</v>
      </c>
      <c r="AT10" s="47">
        <f t="shared" si="6"/>
        <v>2.3563000000000001</v>
      </c>
      <c r="AU10" s="47">
        <f t="shared" si="28"/>
        <v>23563</v>
      </c>
      <c r="AV10" s="47">
        <f t="shared" si="7"/>
        <v>0.54220000000000002</v>
      </c>
      <c r="AW10" s="47">
        <f t="shared" si="29"/>
        <v>5422</v>
      </c>
      <c r="AX10" s="47">
        <f t="shared" si="8"/>
        <v>61.183</v>
      </c>
      <c r="AY10" s="47"/>
      <c r="AZ10" s="47"/>
      <c r="BA10" s="54">
        <v>1E-4</v>
      </c>
      <c r="BB10" s="55" t="s">
        <v>133</v>
      </c>
      <c r="BC10" s="51">
        <f t="shared" si="30"/>
        <v>442.56799999999998</v>
      </c>
      <c r="BD10" s="47">
        <f t="shared" si="9"/>
        <v>63.120000000000005</v>
      </c>
      <c r="BE10" s="47">
        <f t="shared" si="31"/>
        <v>38.448</v>
      </c>
      <c r="BF10" s="47">
        <v>32040</v>
      </c>
      <c r="BG10" s="56">
        <v>341</v>
      </c>
      <c r="BH10" s="47"/>
      <c r="BI10" s="51">
        <f t="shared" si="10"/>
        <v>0</v>
      </c>
      <c r="BJ10" s="51">
        <f t="shared" si="11"/>
        <v>0</v>
      </c>
      <c r="BK10" s="47"/>
      <c r="BL10" s="47"/>
      <c r="BM10" s="47"/>
      <c r="BN10" s="47"/>
      <c r="BO10" s="47"/>
      <c r="BP10" s="47"/>
      <c r="BQ10" s="47"/>
      <c r="BR10" s="47"/>
      <c r="BS10" s="53"/>
      <c r="BT10" s="47"/>
      <c r="BU10" s="47"/>
      <c r="BV10" s="47"/>
      <c r="BW10" s="47"/>
      <c r="BX10" s="47"/>
      <c r="BY10" s="47"/>
      <c r="BZ10" s="47"/>
      <c r="CA10" s="47"/>
      <c r="CB10" s="54">
        <f t="shared" si="12"/>
        <v>1131.6686999999999</v>
      </c>
      <c r="CC10" s="47"/>
      <c r="CD10" s="57"/>
      <c r="CE10" s="47"/>
      <c r="CF10" s="47">
        <f t="shared" si="13"/>
        <v>1131.6686999999999</v>
      </c>
    </row>
    <row r="11" spans="1:84" ht="14.25" customHeight="1">
      <c r="A11" s="47">
        <v>4</v>
      </c>
      <c r="B11" s="47" t="s">
        <v>129</v>
      </c>
      <c r="C11" s="48">
        <v>104001</v>
      </c>
      <c r="D11" s="49" t="s">
        <v>134</v>
      </c>
      <c r="E11" s="49" t="s">
        <v>131</v>
      </c>
      <c r="F11" s="50">
        <f t="shared" si="14"/>
        <v>28</v>
      </c>
      <c r="G11" s="50">
        <v>25</v>
      </c>
      <c r="H11" s="50">
        <v>2</v>
      </c>
      <c r="I11" s="50">
        <v>1</v>
      </c>
      <c r="J11" s="50"/>
      <c r="K11" s="50"/>
      <c r="L11" s="50"/>
      <c r="M11" s="50"/>
      <c r="N11" s="50">
        <v>30</v>
      </c>
      <c r="O11" s="50">
        <f t="shared" si="15"/>
        <v>58</v>
      </c>
      <c r="P11" s="51">
        <f t="shared" si="0"/>
        <v>615.60299999999995</v>
      </c>
      <c r="Q11" s="51">
        <f t="shared" si="1"/>
        <v>373.97059999999999</v>
      </c>
      <c r="R11" s="47">
        <f t="shared" si="16"/>
        <v>122449</v>
      </c>
      <c r="S11" s="52">
        <v>119300</v>
      </c>
      <c r="T11" s="47">
        <v>3149</v>
      </c>
      <c r="U11" s="47">
        <f t="shared" si="17"/>
        <v>146.93879999999999</v>
      </c>
      <c r="V11" s="51">
        <f t="shared" si="2"/>
        <v>60.75</v>
      </c>
      <c r="W11" s="47">
        <f t="shared" si="18"/>
        <v>60.75</v>
      </c>
      <c r="X11" s="47"/>
      <c r="Y11" s="47"/>
      <c r="Z11" s="47"/>
      <c r="AA11" s="47"/>
      <c r="AB11" s="51">
        <f t="shared" si="19"/>
        <v>66.7256</v>
      </c>
      <c r="AC11" s="47">
        <f t="shared" si="20"/>
        <v>11.93</v>
      </c>
      <c r="AD11" s="47"/>
      <c r="AE11" s="47"/>
      <c r="AF11" s="47">
        <f t="shared" si="21"/>
        <v>54.7956</v>
      </c>
      <c r="AG11" s="47">
        <v>45663</v>
      </c>
      <c r="AH11" s="47"/>
      <c r="AI11" s="47">
        <f t="shared" si="22"/>
        <v>2.59</v>
      </c>
      <c r="AJ11" s="53">
        <f t="shared" si="23"/>
        <v>44.320700000000002</v>
      </c>
      <c r="AK11" s="53">
        <f t="shared" si="24"/>
        <v>443207</v>
      </c>
      <c r="AL11" s="47"/>
      <c r="AM11" s="47">
        <f t="shared" si="3"/>
        <v>18.098700000000001</v>
      </c>
      <c r="AN11" s="47">
        <f t="shared" si="4"/>
        <v>17.0473</v>
      </c>
      <c r="AO11" s="47">
        <f t="shared" si="25"/>
        <v>170473</v>
      </c>
      <c r="AP11" s="47">
        <f t="shared" si="5"/>
        <v>1.0513999999999999</v>
      </c>
      <c r="AQ11" s="47">
        <f t="shared" si="26"/>
        <v>10513.999999999998</v>
      </c>
      <c r="AR11" s="47"/>
      <c r="AS11" s="47">
        <f t="shared" si="27"/>
        <v>1.3063</v>
      </c>
      <c r="AT11" s="47">
        <f t="shared" si="6"/>
        <v>1.2617</v>
      </c>
      <c r="AU11" s="47">
        <f t="shared" si="28"/>
        <v>12617</v>
      </c>
      <c r="AV11" s="47">
        <f t="shared" si="7"/>
        <v>4.4600000000000001E-2</v>
      </c>
      <c r="AW11" s="47">
        <f t="shared" si="29"/>
        <v>446</v>
      </c>
      <c r="AX11" s="47">
        <f t="shared" si="8"/>
        <v>33.240499999999997</v>
      </c>
      <c r="AY11" s="47"/>
      <c r="AZ11" s="47"/>
      <c r="BA11" s="54">
        <v>1E-4</v>
      </c>
      <c r="BB11" s="55" t="s">
        <v>134</v>
      </c>
      <c r="BC11" s="51">
        <f t="shared" si="30"/>
        <v>240.376</v>
      </c>
      <c r="BD11" s="47">
        <f t="shared" si="9"/>
        <v>33.36</v>
      </c>
      <c r="BE11" s="47">
        <f t="shared" si="31"/>
        <v>26.015999999999998</v>
      </c>
      <c r="BF11" s="47">
        <v>21680</v>
      </c>
      <c r="BG11" s="56">
        <v>181</v>
      </c>
      <c r="BH11" s="47"/>
      <c r="BI11" s="51">
        <f t="shared" si="10"/>
        <v>1.2564</v>
      </c>
      <c r="BJ11" s="51">
        <f t="shared" si="11"/>
        <v>0</v>
      </c>
      <c r="BK11" s="47"/>
      <c r="BL11" s="47"/>
      <c r="BM11" s="47"/>
      <c r="BN11" s="47"/>
      <c r="BO11" s="47"/>
      <c r="BP11" s="47">
        <v>1.2564</v>
      </c>
      <c r="BQ11" s="47"/>
      <c r="BR11" s="47"/>
      <c r="BS11" s="53"/>
      <c r="BT11" s="47"/>
      <c r="BU11" s="47"/>
      <c r="BV11" s="47"/>
      <c r="BW11" s="47"/>
      <c r="BX11" s="47">
        <v>143</v>
      </c>
      <c r="BY11" s="47"/>
      <c r="BZ11" s="47"/>
      <c r="CA11" s="47"/>
      <c r="CB11" s="54">
        <f t="shared" si="12"/>
        <v>758.60299999999995</v>
      </c>
      <c r="CC11" s="47"/>
      <c r="CD11" s="57"/>
      <c r="CE11" s="47"/>
      <c r="CF11" s="47">
        <f t="shared" si="13"/>
        <v>758.60299999999995</v>
      </c>
    </row>
    <row r="12" spans="1:84" ht="14.25" customHeight="1">
      <c r="A12" s="47">
        <v>5</v>
      </c>
      <c r="B12" s="47" t="s">
        <v>129</v>
      </c>
      <c r="C12" s="48">
        <v>105001</v>
      </c>
      <c r="D12" s="49" t="s">
        <v>135</v>
      </c>
      <c r="E12" s="49" t="s">
        <v>131</v>
      </c>
      <c r="F12" s="50">
        <f t="shared" si="14"/>
        <v>108</v>
      </c>
      <c r="G12" s="50">
        <v>101</v>
      </c>
      <c r="H12" s="50">
        <v>2</v>
      </c>
      <c r="I12" s="50">
        <v>4</v>
      </c>
      <c r="J12" s="50">
        <v>1</v>
      </c>
      <c r="K12" s="50"/>
      <c r="L12" s="50"/>
      <c r="M12" s="50"/>
      <c r="N12" s="50">
        <v>19</v>
      </c>
      <c r="O12" s="50">
        <f t="shared" si="15"/>
        <v>127</v>
      </c>
      <c r="P12" s="51">
        <f t="shared" si="0"/>
        <v>2077.9047999999998</v>
      </c>
      <c r="Q12" s="51">
        <f t="shared" si="1"/>
        <v>1299.1848</v>
      </c>
      <c r="R12" s="47">
        <f t="shared" si="16"/>
        <v>385290</v>
      </c>
      <c r="S12" s="52">
        <v>372440</v>
      </c>
      <c r="T12" s="47">
        <v>12850</v>
      </c>
      <c r="U12" s="47">
        <f t="shared" si="17"/>
        <v>462.34800000000001</v>
      </c>
      <c r="V12" s="51">
        <f t="shared" si="2"/>
        <v>269.952</v>
      </c>
      <c r="W12" s="47">
        <f t="shared" si="18"/>
        <v>231.75</v>
      </c>
      <c r="X12" s="47"/>
      <c r="Y12" s="47"/>
      <c r="Z12" s="47"/>
      <c r="AA12" s="47">
        <v>38.201999999999998</v>
      </c>
      <c r="AB12" s="51">
        <f t="shared" si="19"/>
        <v>227.5616</v>
      </c>
      <c r="AC12" s="47">
        <v>37.244</v>
      </c>
      <c r="AD12" s="47"/>
      <c r="AE12" s="47"/>
      <c r="AF12" s="47">
        <f t="shared" si="21"/>
        <v>190.3176</v>
      </c>
      <c r="AG12" s="47">
        <v>158598</v>
      </c>
      <c r="AH12" s="47"/>
      <c r="AI12" s="47">
        <f t="shared" si="22"/>
        <v>12.95</v>
      </c>
      <c r="AJ12" s="53">
        <f t="shared" si="23"/>
        <v>149.53749999999999</v>
      </c>
      <c r="AK12" s="53">
        <f t="shared" si="24"/>
        <v>1495375</v>
      </c>
      <c r="AL12" s="47"/>
      <c r="AM12" s="47">
        <f t="shared" si="3"/>
        <v>60.241599999999998</v>
      </c>
      <c r="AN12" s="47">
        <f t="shared" si="4"/>
        <v>56.706299999999999</v>
      </c>
      <c r="AO12" s="47">
        <f t="shared" si="25"/>
        <v>567063</v>
      </c>
      <c r="AP12" s="47">
        <f t="shared" si="5"/>
        <v>3.5352000000000001</v>
      </c>
      <c r="AQ12" s="47">
        <f t="shared" si="26"/>
        <v>35352</v>
      </c>
      <c r="AR12" s="47"/>
      <c r="AS12" s="47">
        <f t="shared" si="27"/>
        <v>4.4409000000000001</v>
      </c>
      <c r="AT12" s="47">
        <f t="shared" si="6"/>
        <v>4.2423000000000002</v>
      </c>
      <c r="AU12" s="47">
        <f t="shared" si="28"/>
        <v>42423</v>
      </c>
      <c r="AV12" s="47">
        <f t="shared" si="7"/>
        <v>0.1986</v>
      </c>
      <c r="AW12" s="47">
        <f t="shared" si="29"/>
        <v>1986</v>
      </c>
      <c r="AX12" s="47">
        <f t="shared" si="8"/>
        <v>112.1532</v>
      </c>
      <c r="AY12" s="47"/>
      <c r="AZ12" s="47"/>
      <c r="BA12" s="54">
        <v>1E-4</v>
      </c>
      <c r="BB12" s="55" t="s">
        <v>135</v>
      </c>
      <c r="BC12" s="51">
        <f t="shared" si="30"/>
        <v>775.40800000000002</v>
      </c>
      <c r="BD12" s="47">
        <f>2.5*(G12+H12)+0.96*(I12+J12)</f>
        <v>262.3</v>
      </c>
      <c r="BE12" s="47">
        <f t="shared" si="31"/>
        <v>78.108000000000004</v>
      </c>
      <c r="BF12" s="47">
        <v>65090</v>
      </c>
      <c r="BG12" s="56">
        <v>120</v>
      </c>
      <c r="BH12" s="47">
        <v>315</v>
      </c>
      <c r="BI12" s="51">
        <f t="shared" si="10"/>
        <v>3.3119999999999998</v>
      </c>
      <c r="BJ12" s="51">
        <f t="shared" si="11"/>
        <v>0</v>
      </c>
      <c r="BK12" s="47"/>
      <c r="BL12" s="47"/>
      <c r="BM12" s="47"/>
      <c r="BN12" s="47"/>
      <c r="BO12" s="47"/>
      <c r="BP12" s="47">
        <v>3.3119999999999998</v>
      </c>
      <c r="BQ12" s="47"/>
      <c r="BR12" s="47"/>
      <c r="BS12" s="53"/>
      <c r="BT12" s="47"/>
      <c r="BU12" s="47"/>
      <c r="BV12" s="47"/>
      <c r="BW12" s="47"/>
      <c r="BX12" s="47">
        <v>507</v>
      </c>
      <c r="BY12" s="47"/>
      <c r="BZ12" s="47"/>
      <c r="CA12" s="47"/>
      <c r="CB12" s="54">
        <f t="shared" si="12"/>
        <v>2584.9047999999998</v>
      </c>
      <c r="CC12" s="47"/>
      <c r="CD12" s="57"/>
      <c r="CE12" s="47"/>
      <c r="CF12" s="47">
        <f t="shared" si="13"/>
        <v>2584.9047999999998</v>
      </c>
    </row>
    <row r="13" spans="1:84" ht="14.25" customHeight="1">
      <c r="A13" s="47">
        <v>6</v>
      </c>
      <c r="B13" s="47" t="s">
        <v>129</v>
      </c>
      <c r="C13" s="48">
        <v>109001</v>
      </c>
      <c r="D13" s="49" t="s">
        <v>136</v>
      </c>
      <c r="E13" s="49" t="s">
        <v>131</v>
      </c>
      <c r="F13" s="50">
        <f t="shared" si="14"/>
        <v>21</v>
      </c>
      <c r="G13" s="50">
        <v>14</v>
      </c>
      <c r="H13" s="50">
        <v>2</v>
      </c>
      <c r="I13" s="50">
        <v>4</v>
      </c>
      <c r="J13" s="50">
        <v>1</v>
      </c>
      <c r="K13" s="50"/>
      <c r="L13" s="50"/>
      <c r="M13" s="50"/>
      <c r="N13" s="50">
        <v>8</v>
      </c>
      <c r="O13" s="50">
        <f t="shared" si="15"/>
        <v>29</v>
      </c>
      <c r="P13" s="51">
        <f t="shared" si="0"/>
        <v>706.42820000000006</v>
      </c>
      <c r="Q13" s="51">
        <f t="shared" si="1"/>
        <v>264.17419999999998</v>
      </c>
      <c r="R13" s="47">
        <f t="shared" si="16"/>
        <v>74631</v>
      </c>
      <c r="S13" s="52">
        <v>62541</v>
      </c>
      <c r="T13" s="47">
        <v>12090</v>
      </c>
      <c r="U13" s="47">
        <f t="shared" si="17"/>
        <v>89.557199999999995</v>
      </c>
      <c r="V13" s="51">
        <f t="shared" si="2"/>
        <v>56.16</v>
      </c>
      <c r="W13" s="47">
        <f t="shared" si="18"/>
        <v>36</v>
      </c>
      <c r="X13" s="47"/>
      <c r="Y13" s="47"/>
      <c r="Z13" s="47"/>
      <c r="AA13" s="47">
        <v>20.16</v>
      </c>
      <c r="AB13" s="51">
        <f t="shared" si="19"/>
        <v>42.084900000000005</v>
      </c>
      <c r="AC13" s="47">
        <f t="shared" si="20"/>
        <v>6.2541000000000002</v>
      </c>
      <c r="AD13" s="47"/>
      <c r="AE13" s="47"/>
      <c r="AF13" s="47">
        <f t="shared" si="21"/>
        <v>35.830800000000004</v>
      </c>
      <c r="AG13" s="47">
        <v>29859</v>
      </c>
      <c r="AH13" s="47"/>
      <c r="AI13" s="47">
        <f t="shared" si="22"/>
        <v>12.95</v>
      </c>
      <c r="AJ13" s="53">
        <f t="shared" si="23"/>
        <v>28.8947</v>
      </c>
      <c r="AK13" s="53">
        <f t="shared" si="24"/>
        <v>288947</v>
      </c>
      <c r="AL13" s="47"/>
      <c r="AM13" s="47">
        <f t="shared" si="3"/>
        <v>11.8331</v>
      </c>
      <c r="AN13" s="47">
        <f t="shared" si="4"/>
        <v>11.140599999999999</v>
      </c>
      <c r="AO13" s="47">
        <f t="shared" si="25"/>
        <v>111405.99999999999</v>
      </c>
      <c r="AP13" s="47">
        <f t="shared" si="5"/>
        <v>0.6925</v>
      </c>
      <c r="AQ13" s="47">
        <f t="shared" si="26"/>
        <v>6925</v>
      </c>
      <c r="AR13" s="47"/>
      <c r="AS13" s="47">
        <f t="shared" si="27"/>
        <v>1.0232000000000001</v>
      </c>
      <c r="AT13" s="47">
        <f t="shared" si="6"/>
        <v>0.83099999999999996</v>
      </c>
      <c r="AU13" s="47">
        <f t="shared" si="28"/>
        <v>8310</v>
      </c>
      <c r="AV13" s="47">
        <f t="shared" si="7"/>
        <v>0.19220000000000001</v>
      </c>
      <c r="AW13" s="47">
        <f t="shared" si="29"/>
        <v>1922</v>
      </c>
      <c r="AX13" s="47">
        <f t="shared" si="8"/>
        <v>21.671099999999999</v>
      </c>
      <c r="AY13" s="47"/>
      <c r="AZ13" s="47"/>
      <c r="BA13" s="54">
        <v>1E-4</v>
      </c>
      <c r="BB13" s="55" t="s">
        <v>136</v>
      </c>
      <c r="BC13" s="51">
        <f t="shared" si="30"/>
        <v>231.636</v>
      </c>
      <c r="BD13" s="47">
        <f t="shared" si="9"/>
        <v>24</v>
      </c>
      <c r="BE13" s="47">
        <f t="shared" si="31"/>
        <v>12.635999999999999</v>
      </c>
      <c r="BF13" s="47">
        <v>10530</v>
      </c>
      <c r="BG13" s="56">
        <v>6</v>
      </c>
      <c r="BH13" s="47">
        <v>189</v>
      </c>
      <c r="BI13" s="51">
        <f t="shared" si="10"/>
        <v>210.61799999999999</v>
      </c>
      <c r="BJ13" s="51">
        <f t="shared" si="11"/>
        <v>0</v>
      </c>
      <c r="BK13" s="47"/>
      <c r="BL13" s="47"/>
      <c r="BM13" s="47"/>
      <c r="BN13" s="47"/>
      <c r="BO13" s="47"/>
      <c r="BP13" s="47">
        <v>0.61799999999999999</v>
      </c>
      <c r="BQ13" s="47"/>
      <c r="BR13" s="47"/>
      <c r="BS13" s="53"/>
      <c r="BT13" s="47"/>
      <c r="BU13" s="47"/>
      <c r="BV13" s="47"/>
      <c r="BW13" s="47">
        <v>210</v>
      </c>
      <c r="BX13" s="47">
        <v>162</v>
      </c>
      <c r="BY13" s="47"/>
      <c r="BZ13" s="47"/>
      <c r="CA13" s="47"/>
      <c r="CB13" s="54">
        <f t="shared" si="12"/>
        <v>868.42820000000006</v>
      </c>
      <c r="CC13" s="47"/>
      <c r="CD13" s="57"/>
      <c r="CE13" s="47"/>
      <c r="CF13" s="47">
        <f t="shared" si="13"/>
        <v>868.42820000000006</v>
      </c>
    </row>
    <row r="14" spans="1:84" ht="14.25" customHeight="1">
      <c r="A14" s="47">
        <v>7</v>
      </c>
      <c r="B14" s="47" t="s">
        <v>129</v>
      </c>
      <c r="C14" s="48">
        <v>106001</v>
      </c>
      <c r="D14" s="49" t="s">
        <v>137</v>
      </c>
      <c r="E14" s="49" t="s">
        <v>131</v>
      </c>
      <c r="F14" s="50">
        <f t="shared" si="14"/>
        <v>33</v>
      </c>
      <c r="G14" s="50">
        <v>30</v>
      </c>
      <c r="H14" s="50"/>
      <c r="I14" s="50">
        <v>3</v>
      </c>
      <c r="J14" s="50"/>
      <c r="K14" s="50"/>
      <c r="L14" s="50"/>
      <c r="M14" s="50"/>
      <c r="N14" s="50">
        <v>9</v>
      </c>
      <c r="O14" s="50">
        <f t="shared" si="15"/>
        <v>42</v>
      </c>
      <c r="P14" s="51">
        <f t="shared" si="0"/>
        <v>873.85829999999987</v>
      </c>
      <c r="Q14" s="51">
        <f t="shared" si="1"/>
        <v>369.18229999999994</v>
      </c>
      <c r="R14" s="47">
        <f t="shared" si="16"/>
        <v>109884</v>
      </c>
      <c r="S14" s="52">
        <v>100962</v>
      </c>
      <c r="T14" s="47">
        <v>8922</v>
      </c>
      <c r="U14" s="47">
        <f t="shared" si="17"/>
        <v>131.86080000000001</v>
      </c>
      <c r="V14" s="51">
        <f t="shared" si="2"/>
        <v>67.5</v>
      </c>
      <c r="W14" s="47">
        <f t="shared" si="18"/>
        <v>67.5</v>
      </c>
      <c r="X14" s="47"/>
      <c r="Y14" s="47"/>
      <c r="Z14" s="47"/>
      <c r="AA14" s="47"/>
      <c r="AB14" s="51">
        <f t="shared" si="19"/>
        <v>66.413399999999996</v>
      </c>
      <c r="AC14" s="47">
        <f t="shared" si="20"/>
        <v>10.0962</v>
      </c>
      <c r="AD14" s="47"/>
      <c r="AE14" s="47"/>
      <c r="AF14" s="47">
        <f t="shared" si="21"/>
        <v>56.3172</v>
      </c>
      <c r="AG14" s="47">
        <v>46931</v>
      </c>
      <c r="AH14" s="47"/>
      <c r="AI14" s="47">
        <f t="shared" si="22"/>
        <v>7.77</v>
      </c>
      <c r="AJ14" s="53">
        <f t="shared" si="23"/>
        <v>43.767099999999999</v>
      </c>
      <c r="AK14" s="53">
        <f t="shared" si="24"/>
        <v>437671</v>
      </c>
      <c r="AL14" s="47"/>
      <c r="AM14" s="47">
        <f t="shared" si="3"/>
        <v>17.6736</v>
      </c>
      <c r="AN14" s="47">
        <f t="shared" si="4"/>
        <v>16.638000000000002</v>
      </c>
      <c r="AO14" s="47">
        <f t="shared" si="25"/>
        <v>166380.00000000003</v>
      </c>
      <c r="AP14" s="47">
        <f t="shared" si="5"/>
        <v>1.0357000000000001</v>
      </c>
      <c r="AQ14" s="47">
        <f t="shared" si="26"/>
        <v>10357</v>
      </c>
      <c r="AR14" s="47"/>
      <c r="AS14" s="47">
        <f t="shared" si="27"/>
        <v>1.3721000000000001</v>
      </c>
      <c r="AT14" s="47">
        <f t="shared" si="6"/>
        <v>1.2427999999999999</v>
      </c>
      <c r="AU14" s="47">
        <f t="shared" si="28"/>
        <v>12427.999999999998</v>
      </c>
      <c r="AV14" s="47">
        <f t="shared" si="7"/>
        <v>0.1293</v>
      </c>
      <c r="AW14" s="47">
        <f t="shared" si="29"/>
        <v>1293</v>
      </c>
      <c r="AX14" s="47">
        <f t="shared" si="8"/>
        <v>32.825299999999999</v>
      </c>
      <c r="AY14" s="47"/>
      <c r="AZ14" s="47"/>
      <c r="BA14" s="54">
        <v>1E-4</v>
      </c>
      <c r="BB14" s="55" t="s">
        <v>137</v>
      </c>
      <c r="BC14" s="51">
        <f t="shared" si="30"/>
        <v>242.76400000000001</v>
      </c>
      <c r="BD14" s="47">
        <f t="shared" si="9"/>
        <v>38.880000000000003</v>
      </c>
      <c r="BE14" s="47">
        <f t="shared" si="31"/>
        <v>22.884</v>
      </c>
      <c r="BF14" s="47">
        <v>19070</v>
      </c>
      <c r="BG14" s="56">
        <v>181</v>
      </c>
      <c r="BH14" s="47"/>
      <c r="BI14" s="51">
        <f t="shared" si="10"/>
        <v>261.91199999999998</v>
      </c>
      <c r="BJ14" s="51">
        <f t="shared" si="11"/>
        <v>0</v>
      </c>
      <c r="BK14" s="47"/>
      <c r="BL14" s="47"/>
      <c r="BM14" s="47"/>
      <c r="BN14" s="47"/>
      <c r="BO14" s="47"/>
      <c r="BP14" s="47">
        <v>1.512</v>
      </c>
      <c r="BQ14" s="47"/>
      <c r="BR14" s="47"/>
      <c r="BS14" s="53"/>
      <c r="BT14" s="47"/>
      <c r="BU14" s="47"/>
      <c r="BV14" s="47"/>
      <c r="BW14" s="47">
        <v>260.39999999999998</v>
      </c>
      <c r="BX14" s="47">
        <v>495</v>
      </c>
      <c r="BY14" s="47"/>
      <c r="BZ14" s="47"/>
      <c r="CA14" s="47"/>
      <c r="CB14" s="54">
        <f t="shared" si="12"/>
        <v>1368.8582999999999</v>
      </c>
      <c r="CC14" s="47"/>
      <c r="CD14" s="57"/>
      <c r="CE14" s="47"/>
      <c r="CF14" s="47">
        <f t="shared" si="13"/>
        <v>1368.8582999999999</v>
      </c>
    </row>
    <row r="15" spans="1:84" ht="14.25" customHeight="1">
      <c r="A15" s="47">
        <v>8</v>
      </c>
      <c r="B15" s="47" t="s">
        <v>129</v>
      </c>
      <c r="C15" s="48">
        <v>107001</v>
      </c>
      <c r="D15" s="49" t="s">
        <v>138</v>
      </c>
      <c r="E15" s="49" t="s">
        <v>131</v>
      </c>
      <c r="F15" s="50">
        <f t="shared" si="14"/>
        <v>19</v>
      </c>
      <c r="G15" s="50">
        <v>17</v>
      </c>
      <c r="H15" s="50">
        <v>1</v>
      </c>
      <c r="I15" s="50">
        <v>1</v>
      </c>
      <c r="J15" s="50"/>
      <c r="K15" s="50"/>
      <c r="L15" s="50"/>
      <c r="M15" s="50"/>
      <c r="N15" s="50">
        <v>6</v>
      </c>
      <c r="O15" s="50">
        <f t="shared" si="15"/>
        <v>25</v>
      </c>
      <c r="P15" s="51">
        <f t="shared" si="0"/>
        <v>453.73059999999998</v>
      </c>
      <c r="Q15" s="51">
        <f t="shared" si="1"/>
        <v>230.38660000000002</v>
      </c>
      <c r="R15" s="47">
        <f t="shared" si="16"/>
        <v>71755</v>
      </c>
      <c r="S15" s="52">
        <v>69032</v>
      </c>
      <c r="T15" s="47">
        <v>2723</v>
      </c>
      <c r="U15" s="47">
        <f t="shared" si="17"/>
        <v>86.105999999999995</v>
      </c>
      <c r="V15" s="51">
        <f t="shared" si="2"/>
        <v>40.5</v>
      </c>
      <c r="W15" s="47">
        <f t="shared" si="18"/>
        <v>40.5</v>
      </c>
      <c r="X15" s="47"/>
      <c r="Y15" s="47"/>
      <c r="Z15" s="47"/>
      <c r="AA15" s="47"/>
      <c r="AB15" s="51">
        <f t="shared" si="19"/>
        <v>41.541199999999996</v>
      </c>
      <c r="AC15" s="47">
        <f t="shared" si="20"/>
        <v>6.9032</v>
      </c>
      <c r="AD15" s="47"/>
      <c r="AE15" s="47"/>
      <c r="AF15" s="47">
        <f t="shared" si="21"/>
        <v>34.637999999999998</v>
      </c>
      <c r="AG15" s="47">
        <v>28865</v>
      </c>
      <c r="AH15" s="47"/>
      <c r="AI15" s="47">
        <f t="shared" si="22"/>
        <v>2.59</v>
      </c>
      <c r="AJ15" s="53">
        <f t="shared" si="23"/>
        <v>27.318000000000001</v>
      </c>
      <c r="AK15" s="53">
        <f t="shared" si="24"/>
        <v>273180</v>
      </c>
      <c r="AL15" s="47"/>
      <c r="AM15" s="47">
        <f t="shared" si="3"/>
        <v>11.0267</v>
      </c>
      <c r="AN15" s="47">
        <f t="shared" si="4"/>
        <v>10.380699999999999</v>
      </c>
      <c r="AO15" s="47">
        <f t="shared" si="25"/>
        <v>103806.99999999999</v>
      </c>
      <c r="AP15" s="47">
        <f t="shared" si="5"/>
        <v>0.64600000000000002</v>
      </c>
      <c r="AQ15" s="47">
        <f t="shared" si="26"/>
        <v>6460</v>
      </c>
      <c r="AR15" s="47"/>
      <c r="AS15" s="47">
        <f t="shared" si="27"/>
        <v>0.81620000000000004</v>
      </c>
      <c r="AT15" s="47">
        <f t="shared" si="6"/>
        <v>0.7752</v>
      </c>
      <c r="AU15" s="47">
        <f t="shared" si="28"/>
        <v>7752</v>
      </c>
      <c r="AV15" s="47">
        <f t="shared" si="7"/>
        <v>4.1000000000000002E-2</v>
      </c>
      <c r="AW15" s="47">
        <f t="shared" si="29"/>
        <v>410</v>
      </c>
      <c r="AX15" s="47">
        <f t="shared" si="8"/>
        <v>20.488499999999998</v>
      </c>
      <c r="AY15" s="47"/>
      <c r="AZ15" s="47"/>
      <c r="BA15" s="54">
        <v>1E-4</v>
      </c>
      <c r="BB15" s="55" t="s">
        <v>138</v>
      </c>
      <c r="BC15" s="51">
        <f t="shared" si="30"/>
        <v>128.34399999999999</v>
      </c>
      <c r="BD15" s="47">
        <f t="shared" si="9"/>
        <v>22.56</v>
      </c>
      <c r="BE15" s="47">
        <f t="shared" si="31"/>
        <v>14.784000000000001</v>
      </c>
      <c r="BF15" s="47">
        <v>12320</v>
      </c>
      <c r="BG15" s="56">
        <v>91</v>
      </c>
      <c r="BH15" s="47"/>
      <c r="BI15" s="51">
        <f t="shared" si="10"/>
        <v>95</v>
      </c>
      <c r="BJ15" s="51">
        <f t="shared" si="11"/>
        <v>0</v>
      </c>
      <c r="BK15" s="47"/>
      <c r="BL15" s="47"/>
      <c r="BM15" s="47"/>
      <c r="BN15" s="47"/>
      <c r="BO15" s="47"/>
      <c r="BP15" s="47"/>
      <c r="BQ15" s="47"/>
      <c r="BR15" s="47"/>
      <c r="BS15" s="53"/>
      <c r="BT15" s="47"/>
      <c r="BU15" s="47"/>
      <c r="BV15" s="47"/>
      <c r="BW15" s="47">
        <v>95</v>
      </c>
      <c r="BX15" s="47">
        <v>287</v>
      </c>
      <c r="BY15" s="47"/>
      <c r="BZ15" s="47"/>
      <c r="CA15" s="47"/>
      <c r="CB15" s="54">
        <f t="shared" si="12"/>
        <v>740.73059999999998</v>
      </c>
      <c r="CC15" s="47">
        <v>7</v>
      </c>
      <c r="CD15" s="57"/>
      <c r="CE15" s="47"/>
      <c r="CF15" s="47">
        <f t="shared" si="13"/>
        <v>747.73059999999998</v>
      </c>
    </row>
    <row r="16" spans="1:84" ht="14.25" customHeight="1">
      <c r="A16" s="47">
        <v>9</v>
      </c>
      <c r="B16" s="47" t="s">
        <v>129</v>
      </c>
      <c r="C16" s="48">
        <v>108001</v>
      </c>
      <c r="D16" s="49" t="s">
        <v>139</v>
      </c>
      <c r="E16" s="49" t="s">
        <v>131</v>
      </c>
      <c r="F16" s="50">
        <f t="shared" si="14"/>
        <v>11</v>
      </c>
      <c r="G16" s="50">
        <v>9</v>
      </c>
      <c r="H16" s="50"/>
      <c r="I16" s="50">
        <v>2</v>
      </c>
      <c r="J16" s="50"/>
      <c r="K16" s="50"/>
      <c r="L16" s="50"/>
      <c r="M16" s="50"/>
      <c r="N16" s="50">
        <v>6</v>
      </c>
      <c r="O16" s="50">
        <f t="shared" si="15"/>
        <v>17</v>
      </c>
      <c r="P16" s="51">
        <f t="shared" si="0"/>
        <v>242.77670000000001</v>
      </c>
      <c r="Q16" s="51">
        <f t="shared" si="1"/>
        <v>135.36270000000002</v>
      </c>
      <c r="R16" s="47">
        <f t="shared" si="16"/>
        <v>42526</v>
      </c>
      <c r="S16" s="52">
        <v>37484</v>
      </c>
      <c r="T16" s="47">
        <v>5042</v>
      </c>
      <c r="U16" s="47">
        <f t="shared" si="17"/>
        <v>51.031199999999998</v>
      </c>
      <c r="V16" s="51">
        <f t="shared" si="2"/>
        <v>20.25</v>
      </c>
      <c r="W16" s="47">
        <f t="shared" si="18"/>
        <v>20.25</v>
      </c>
      <c r="X16" s="47"/>
      <c r="Y16" s="47"/>
      <c r="Z16" s="47"/>
      <c r="AA16" s="47"/>
      <c r="AB16" s="51">
        <f t="shared" si="19"/>
        <v>23.758400000000002</v>
      </c>
      <c r="AC16" s="47">
        <f t="shared" si="20"/>
        <v>3.7484000000000002</v>
      </c>
      <c r="AD16" s="47"/>
      <c r="AE16" s="47"/>
      <c r="AF16" s="47">
        <f t="shared" si="21"/>
        <v>20.010000000000002</v>
      </c>
      <c r="AG16" s="47">
        <v>16675</v>
      </c>
      <c r="AH16" s="47"/>
      <c r="AI16" s="47">
        <f t="shared" si="22"/>
        <v>5.18</v>
      </c>
      <c r="AJ16" s="53">
        <f t="shared" si="23"/>
        <v>16.0351</v>
      </c>
      <c r="AK16" s="53">
        <f t="shared" si="24"/>
        <v>160351</v>
      </c>
      <c r="AL16" s="47"/>
      <c r="AM16" s="47">
        <f t="shared" si="3"/>
        <v>6.5442</v>
      </c>
      <c r="AN16" s="47">
        <f t="shared" si="4"/>
        <v>6.1619000000000002</v>
      </c>
      <c r="AO16" s="47">
        <f t="shared" si="25"/>
        <v>61619</v>
      </c>
      <c r="AP16" s="47">
        <f t="shared" si="5"/>
        <v>0.38229999999999997</v>
      </c>
      <c r="AQ16" s="47">
        <f t="shared" si="26"/>
        <v>3822.9999999999995</v>
      </c>
      <c r="AR16" s="47"/>
      <c r="AS16" s="47">
        <f t="shared" si="27"/>
        <v>0.53739999999999999</v>
      </c>
      <c r="AT16" s="47">
        <f t="shared" si="6"/>
        <v>0.45879999999999999</v>
      </c>
      <c r="AU16" s="47">
        <f t="shared" si="28"/>
        <v>4588</v>
      </c>
      <c r="AV16" s="47">
        <f t="shared" si="7"/>
        <v>7.8600000000000003E-2</v>
      </c>
      <c r="AW16" s="47">
        <f t="shared" si="29"/>
        <v>786</v>
      </c>
      <c r="AX16" s="47">
        <f t="shared" si="8"/>
        <v>12.026400000000001</v>
      </c>
      <c r="AY16" s="47"/>
      <c r="AZ16" s="47"/>
      <c r="BA16" s="54">
        <v>1E-4</v>
      </c>
      <c r="BB16" s="55" t="s">
        <v>139</v>
      </c>
      <c r="BC16" s="51">
        <f t="shared" si="30"/>
        <v>106.904</v>
      </c>
      <c r="BD16" s="47">
        <f t="shared" si="9"/>
        <v>12.719999999999999</v>
      </c>
      <c r="BE16" s="47">
        <f t="shared" si="31"/>
        <v>8.1839999999999993</v>
      </c>
      <c r="BF16" s="47">
        <v>6820</v>
      </c>
      <c r="BG16" s="56">
        <v>86</v>
      </c>
      <c r="BH16" s="47"/>
      <c r="BI16" s="51">
        <f t="shared" si="10"/>
        <v>0.51</v>
      </c>
      <c r="BJ16" s="51">
        <f t="shared" si="11"/>
        <v>0</v>
      </c>
      <c r="BK16" s="47"/>
      <c r="BL16" s="47"/>
      <c r="BM16" s="47"/>
      <c r="BN16" s="47"/>
      <c r="BO16" s="47"/>
      <c r="BP16" s="47">
        <v>0.51</v>
      </c>
      <c r="BQ16" s="47"/>
      <c r="BR16" s="47"/>
      <c r="BS16" s="53"/>
      <c r="BT16" s="47"/>
      <c r="BU16" s="47"/>
      <c r="BV16" s="47"/>
      <c r="BW16" s="47"/>
      <c r="BX16" s="47">
        <v>20</v>
      </c>
      <c r="BY16" s="47"/>
      <c r="BZ16" s="47"/>
      <c r="CA16" s="47"/>
      <c r="CB16" s="54">
        <f t="shared" si="12"/>
        <v>262.77670000000001</v>
      </c>
      <c r="CC16" s="47"/>
      <c r="CD16" s="57"/>
      <c r="CE16" s="47"/>
      <c r="CF16" s="47">
        <f t="shared" si="13"/>
        <v>262.77670000000001</v>
      </c>
    </row>
    <row r="17" spans="1:84" ht="14.25" customHeight="1">
      <c r="A17" s="47">
        <v>10</v>
      </c>
      <c r="B17" s="47" t="s">
        <v>129</v>
      </c>
      <c r="C17" s="48">
        <v>121001</v>
      </c>
      <c r="D17" s="49" t="s">
        <v>140</v>
      </c>
      <c r="E17" s="49" t="s">
        <v>141</v>
      </c>
      <c r="F17" s="50">
        <f t="shared" si="14"/>
        <v>20</v>
      </c>
      <c r="G17" s="50">
        <v>12</v>
      </c>
      <c r="H17" s="50">
        <v>1</v>
      </c>
      <c r="I17" s="50">
        <v>7</v>
      </c>
      <c r="J17" s="50"/>
      <c r="K17" s="50"/>
      <c r="L17" s="50"/>
      <c r="M17" s="50"/>
      <c r="N17" s="50">
        <v>10</v>
      </c>
      <c r="O17" s="50">
        <f t="shared" si="15"/>
        <v>30</v>
      </c>
      <c r="P17" s="51">
        <f t="shared" si="0"/>
        <v>373.75999999999993</v>
      </c>
      <c r="Q17" s="51">
        <f t="shared" si="1"/>
        <v>252.21199999999999</v>
      </c>
      <c r="R17" s="47">
        <f t="shared" si="16"/>
        <v>84179</v>
      </c>
      <c r="S17" s="52">
        <v>48055</v>
      </c>
      <c r="T17" s="47">
        <v>36124</v>
      </c>
      <c r="U17" s="47">
        <f t="shared" si="17"/>
        <v>101.01479999999999</v>
      </c>
      <c r="V17" s="51">
        <f t="shared" si="2"/>
        <v>29.25</v>
      </c>
      <c r="W17" s="47">
        <f t="shared" si="18"/>
        <v>29.25</v>
      </c>
      <c r="X17" s="47"/>
      <c r="Y17" s="47"/>
      <c r="Z17" s="47"/>
      <c r="AA17" s="47"/>
      <c r="AB17" s="51">
        <f t="shared" si="19"/>
        <v>37.701100000000004</v>
      </c>
      <c r="AC17" s="47">
        <f t="shared" si="20"/>
        <v>4.8055000000000003</v>
      </c>
      <c r="AD17" s="47"/>
      <c r="AE17" s="47"/>
      <c r="AF17" s="47">
        <f t="shared" si="21"/>
        <v>32.895600000000002</v>
      </c>
      <c r="AG17" s="47">
        <v>27413</v>
      </c>
      <c r="AH17" s="47"/>
      <c r="AI17" s="47">
        <f t="shared" si="22"/>
        <v>18.13</v>
      </c>
      <c r="AJ17" s="53">
        <f t="shared" si="23"/>
        <v>29.775300000000001</v>
      </c>
      <c r="AK17" s="53">
        <f t="shared" si="24"/>
        <v>297753</v>
      </c>
      <c r="AL17" s="47"/>
      <c r="AM17" s="47">
        <f t="shared" si="3"/>
        <v>12.688599999999999</v>
      </c>
      <c r="AN17" s="47">
        <f t="shared" si="4"/>
        <v>11.9466</v>
      </c>
      <c r="AO17" s="47">
        <f t="shared" si="25"/>
        <v>119466</v>
      </c>
      <c r="AP17" s="47">
        <f t="shared" si="5"/>
        <v>0.74199999999999999</v>
      </c>
      <c r="AQ17" s="47">
        <f t="shared" si="26"/>
        <v>7420</v>
      </c>
      <c r="AR17" s="47"/>
      <c r="AS17" s="47">
        <f t="shared" si="27"/>
        <v>1.3207</v>
      </c>
      <c r="AT17" s="47">
        <f t="shared" si="6"/>
        <v>0.89039999999999997</v>
      </c>
      <c r="AU17" s="47">
        <f t="shared" si="28"/>
        <v>8904</v>
      </c>
      <c r="AV17" s="47">
        <f t="shared" si="7"/>
        <v>0.4304</v>
      </c>
      <c r="AW17" s="47">
        <f t="shared" si="29"/>
        <v>4304</v>
      </c>
      <c r="AX17" s="47">
        <f t="shared" si="8"/>
        <v>22.331499999999998</v>
      </c>
      <c r="AY17" s="47"/>
      <c r="AZ17" s="47"/>
      <c r="BA17" s="54">
        <v>1E-4</v>
      </c>
      <c r="BB17" s="55" t="s">
        <v>140</v>
      </c>
      <c r="BC17" s="51">
        <f t="shared" si="30"/>
        <v>119.06399999999999</v>
      </c>
      <c r="BD17" s="47">
        <f t="shared" si="9"/>
        <v>22.32</v>
      </c>
      <c r="BE17" s="47">
        <f t="shared" si="31"/>
        <v>15.744</v>
      </c>
      <c r="BF17" s="47">
        <v>13120</v>
      </c>
      <c r="BG17" s="56">
        <v>81</v>
      </c>
      <c r="BH17" s="47"/>
      <c r="BI17" s="51">
        <f t="shared" si="10"/>
        <v>2.484</v>
      </c>
      <c r="BJ17" s="51">
        <f t="shared" si="11"/>
        <v>0</v>
      </c>
      <c r="BK17" s="47"/>
      <c r="BL17" s="47"/>
      <c r="BM17" s="47"/>
      <c r="BN17" s="47"/>
      <c r="BO17" s="47"/>
      <c r="BP17" s="47">
        <v>2.484</v>
      </c>
      <c r="BQ17" s="47"/>
      <c r="BR17" s="47"/>
      <c r="BS17" s="53"/>
      <c r="BT17" s="47"/>
      <c r="BU17" s="47"/>
      <c r="BV17" s="47"/>
      <c r="BW17" s="47"/>
      <c r="BX17" s="47"/>
      <c r="BY17" s="47"/>
      <c r="BZ17" s="47"/>
      <c r="CA17" s="47"/>
      <c r="CB17" s="54">
        <f t="shared" si="12"/>
        <v>373.75999999999993</v>
      </c>
      <c r="CC17" s="47"/>
      <c r="CD17" s="57">
        <v>33</v>
      </c>
      <c r="CE17" s="47"/>
      <c r="CF17" s="47">
        <f t="shared" si="13"/>
        <v>406.75999999999993</v>
      </c>
    </row>
    <row r="18" spans="1:84" ht="14.25" customHeight="1">
      <c r="A18" s="47">
        <v>11</v>
      </c>
      <c r="B18" s="47" t="s">
        <v>129</v>
      </c>
      <c r="C18" s="48">
        <v>117001</v>
      </c>
      <c r="D18" s="49" t="s">
        <v>142</v>
      </c>
      <c r="E18" s="49" t="s">
        <v>143</v>
      </c>
      <c r="F18" s="50">
        <f t="shared" si="14"/>
        <v>7</v>
      </c>
      <c r="G18" s="50">
        <v>4</v>
      </c>
      <c r="H18" s="50"/>
      <c r="I18" s="50">
        <v>2</v>
      </c>
      <c r="J18" s="50">
        <v>1</v>
      </c>
      <c r="K18" s="50"/>
      <c r="L18" s="50"/>
      <c r="M18" s="50"/>
      <c r="N18" s="50">
        <v>4</v>
      </c>
      <c r="O18" s="50">
        <f t="shared" si="15"/>
        <v>11</v>
      </c>
      <c r="P18" s="51">
        <f t="shared" si="0"/>
        <v>158.5718</v>
      </c>
      <c r="Q18" s="51">
        <f t="shared" si="1"/>
        <v>79.423799999999986</v>
      </c>
      <c r="R18" s="47">
        <f t="shared" si="16"/>
        <v>23720</v>
      </c>
      <c r="S18" s="52">
        <v>15522</v>
      </c>
      <c r="T18" s="47">
        <v>8198</v>
      </c>
      <c r="U18" s="47">
        <f t="shared" si="17"/>
        <v>28.463999999999999</v>
      </c>
      <c r="V18" s="51">
        <f t="shared" si="2"/>
        <v>9</v>
      </c>
      <c r="W18" s="47">
        <f t="shared" si="18"/>
        <v>9</v>
      </c>
      <c r="X18" s="47"/>
      <c r="Y18" s="47"/>
      <c r="Z18" s="47"/>
      <c r="AA18" s="47"/>
      <c r="AB18" s="51">
        <f t="shared" si="19"/>
        <v>13.4802</v>
      </c>
      <c r="AC18" s="47">
        <f t="shared" si="20"/>
        <v>1.5522</v>
      </c>
      <c r="AD18" s="47"/>
      <c r="AE18" s="47"/>
      <c r="AF18" s="47">
        <f t="shared" si="21"/>
        <v>11.928000000000001</v>
      </c>
      <c r="AG18" s="47">
        <v>9940</v>
      </c>
      <c r="AH18" s="47"/>
      <c r="AI18" s="47">
        <f t="shared" si="22"/>
        <v>7.77</v>
      </c>
      <c r="AJ18" s="53">
        <f t="shared" si="23"/>
        <v>9.3942999999999994</v>
      </c>
      <c r="AK18" s="53">
        <f t="shared" si="24"/>
        <v>93943</v>
      </c>
      <c r="AL18" s="47"/>
      <c r="AM18" s="47">
        <f t="shared" si="3"/>
        <v>3.8748999999999998</v>
      </c>
      <c r="AN18" s="47">
        <f t="shared" si="4"/>
        <v>3.6486999999999998</v>
      </c>
      <c r="AO18" s="47">
        <f t="shared" si="25"/>
        <v>36487</v>
      </c>
      <c r="AP18" s="47">
        <f t="shared" si="5"/>
        <v>0.22620000000000001</v>
      </c>
      <c r="AQ18" s="47">
        <f t="shared" si="26"/>
        <v>2262</v>
      </c>
      <c r="AR18" s="47"/>
      <c r="AS18" s="47">
        <f t="shared" si="27"/>
        <v>0.3947</v>
      </c>
      <c r="AT18" s="47">
        <f t="shared" si="6"/>
        <v>0.27139999999999997</v>
      </c>
      <c r="AU18" s="47">
        <f t="shared" si="28"/>
        <v>2713.9999999999995</v>
      </c>
      <c r="AV18" s="47">
        <f t="shared" si="7"/>
        <v>0.12330000000000001</v>
      </c>
      <c r="AW18" s="47">
        <f t="shared" si="29"/>
        <v>1233</v>
      </c>
      <c r="AX18" s="47">
        <f t="shared" si="8"/>
        <v>7.0457000000000001</v>
      </c>
      <c r="AY18" s="47"/>
      <c r="AZ18" s="47"/>
      <c r="BA18" s="54">
        <v>1E-4</v>
      </c>
      <c r="BB18" s="55" t="s">
        <v>142</v>
      </c>
      <c r="BC18" s="51">
        <f t="shared" si="30"/>
        <v>77.147999999999996</v>
      </c>
      <c r="BD18" s="47">
        <f t="shared" si="9"/>
        <v>7.68</v>
      </c>
      <c r="BE18" s="47">
        <f t="shared" si="31"/>
        <v>3.468</v>
      </c>
      <c r="BF18" s="47">
        <v>2890</v>
      </c>
      <c r="BG18" s="56">
        <v>66</v>
      </c>
      <c r="BH18" s="47"/>
      <c r="BI18" s="51">
        <f t="shared" si="10"/>
        <v>2</v>
      </c>
      <c r="BJ18" s="51">
        <f t="shared" si="11"/>
        <v>0</v>
      </c>
      <c r="BK18" s="47"/>
      <c r="BL18" s="47"/>
      <c r="BM18" s="47"/>
      <c r="BN18" s="47"/>
      <c r="BO18" s="47"/>
      <c r="BP18" s="47"/>
      <c r="BQ18" s="47"/>
      <c r="BR18" s="47"/>
      <c r="BS18" s="53"/>
      <c r="BT18" s="47"/>
      <c r="BU18" s="47"/>
      <c r="BV18" s="47"/>
      <c r="BW18" s="47">
        <v>2</v>
      </c>
      <c r="BX18" s="47"/>
      <c r="BY18" s="47"/>
      <c r="BZ18" s="47"/>
      <c r="CA18" s="47"/>
      <c r="CB18" s="54">
        <f t="shared" si="12"/>
        <v>158.5718</v>
      </c>
      <c r="CC18" s="47"/>
      <c r="CD18" s="57"/>
      <c r="CE18" s="47"/>
      <c r="CF18" s="47">
        <f t="shared" si="13"/>
        <v>158.5718</v>
      </c>
    </row>
    <row r="19" spans="1:84" ht="14.25" customHeight="1">
      <c r="A19" s="47">
        <v>12</v>
      </c>
      <c r="B19" s="47" t="s">
        <v>129</v>
      </c>
      <c r="C19" s="48">
        <v>116001</v>
      </c>
      <c r="D19" s="49" t="s">
        <v>144</v>
      </c>
      <c r="E19" s="49" t="s">
        <v>143</v>
      </c>
      <c r="F19" s="50">
        <f t="shared" si="14"/>
        <v>3</v>
      </c>
      <c r="G19" s="50">
        <v>3</v>
      </c>
      <c r="H19" s="50"/>
      <c r="I19" s="50"/>
      <c r="J19" s="50"/>
      <c r="K19" s="50"/>
      <c r="L19" s="50"/>
      <c r="M19" s="50"/>
      <c r="N19" s="50"/>
      <c r="O19" s="50">
        <f t="shared" si="15"/>
        <v>3</v>
      </c>
      <c r="P19" s="51">
        <f t="shared" si="0"/>
        <v>75.283900000000003</v>
      </c>
      <c r="Q19" s="51">
        <f t="shared" si="1"/>
        <v>38.4039</v>
      </c>
      <c r="R19" s="47">
        <f t="shared" si="16"/>
        <v>12392</v>
      </c>
      <c r="S19" s="52">
        <v>12392</v>
      </c>
      <c r="T19" s="47">
        <v>0</v>
      </c>
      <c r="U19" s="47">
        <f t="shared" si="17"/>
        <v>14.8704</v>
      </c>
      <c r="V19" s="51">
        <f t="shared" si="2"/>
        <v>6.75</v>
      </c>
      <c r="W19" s="47">
        <f t="shared" si="18"/>
        <v>6.75</v>
      </c>
      <c r="X19" s="47"/>
      <c r="Y19" s="47"/>
      <c r="Z19" s="47"/>
      <c r="AA19" s="47"/>
      <c r="AB19" s="51">
        <f t="shared" si="19"/>
        <v>6.8456000000000001</v>
      </c>
      <c r="AC19" s="47">
        <f t="shared" si="20"/>
        <v>1.2392000000000001</v>
      </c>
      <c r="AD19" s="47"/>
      <c r="AE19" s="47"/>
      <c r="AF19" s="47">
        <f t="shared" si="21"/>
        <v>5.6063999999999998</v>
      </c>
      <c r="AG19" s="47">
        <v>4672</v>
      </c>
      <c r="AH19" s="47"/>
      <c r="AI19" s="47">
        <f t="shared" si="22"/>
        <v>0</v>
      </c>
      <c r="AJ19" s="53">
        <f t="shared" si="23"/>
        <v>4.5545999999999998</v>
      </c>
      <c r="AK19" s="53">
        <f t="shared" si="24"/>
        <v>45546</v>
      </c>
      <c r="AL19" s="47"/>
      <c r="AM19" s="47">
        <f t="shared" si="3"/>
        <v>1.8376999999999999</v>
      </c>
      <c r="AN19" s="47">
        <f t="shared" si="4"/>
        <v>1.7296</v>
      </c>
      <c r="AO19" s="47">
        <f t="shared" si="25"/>
        <v>17296</v>
      </c>
      <c r="AP19" s="47">
        <f t="shared" si="5"/>
        <v>0.1081</v>
      </c>
      <c r="AQ19" s="47">
        <f t="shared" si="26"/>
        <v>1081</v>
      </c>
      <c r="AR19" s="47"/>
      <c r="AS19" s="47">
        <f t="shared" si="27"/>
        <v>0.12970000000000001</v>
      </c>
      <c r="AT19" s="47">
        <f t="shared" si="6"/>
        <v>0.12970000000000001</v>
      </c>
      <c r="AU19" s="47">
        <f t="shared" si="28"/>
        <v>1297</v>
      </c>
      <c r="AV19" s="47">
        <f t="shared" si="7"/>
        <v>0</v>
      </c>
      <c r="AW19" s="47">
        <f t="shared" si="29"/>
        <v>0</v>
      </c>
      <c r="AX19" s="47">
        <f t="shared" si="8"/>
        <v>3.4159000000000002</v>
      </c>
      <c r="AY19" s="47"/>
      <c r="AZ19" s="47"/>
      <c r="BA19" s="54">
        <v>1E-4</v>
      </c>
      <c r="BB19" s="55" t="s">
        <v>144</v>
      </c>
      <c r="BC19" s="51">
        <f t="shared" si="30"/>
        <v>31.88</v>
      </c>
      <c r="BD19" s="47">
        <f t="shared" si="9"/>
        <v>3.5999999999999996</v>
      </c>
      <c r="BE19" s="47">
        <f t="shared" si="31"/>
        <v>2.2799999999999998</v>
      </c>
      <c r="BF19" s="47">
        <v>1900</v>
      </c>
      <c r="BG19" s="56">
        <v>26</v>
      </c>
      <c r="BH19" s="47"/>
      <c r="BI19" s="51">
        <f t="shared" si="10"/>
        <v>5</v>
      </c>
      <c r="BJ19" s="51">
        <f t="shared" si="11"/>
        <v>0</v>
      </c>
      <c r="BK19" s="47"/>
      <c r="BL19" s="47"/>
      <c r="BM19" s="47"/>
      <c r="BN19" s="47"/>
      <c r="BO19" s="47"/>
      <c r="BP19" s="47"/>
      <c r="BQ19" s="47"/>
      <c r="BR19" s="47"/>
      <c r="BS19" s="53"/>
      <c r="BT19" s="47"/>
      <c r="BU19" s="47"/>
      <c r="BV19" s="47"/>
      <c r="BW19" s="47">
        <v>5</v>
      </c>
      <c r="BX19" s="47"/>
      <c r="BY19" s="47"/>
      <c r="BZ19" s="47"/>
      <c r="CA19" s="47"/>
      <c r="CB19" s="54">
        <f t="shared" si="12"/>
        <v>75.283900000000003</v>
      </c>
      <c r="CC19" s="47"/>
      <c r="CD19" s="57"/>
      <c r="CE19" s="47"/>
      <c r="CF19" s="47">
        <f t="shared" si="13"/>
        <v>75.283900000000003</v>
      </c>
    </row>
    <row r="20" spans="1:84" ht="14.25" customHeight="1">
      <c r="A20" s="47">
        <v>13</v>
      </c>
      <c r="B20" s="47" t="s">
        <v>129</v>
      </c>
      <c r="C20" s="48">
        <v>115001</v>
      </c>
      <c r="D20" s="49" t="s">
        <v>145</v>
      </c>
      <c r="E20" s="49" t="s">
        <v>131</v>
      </c>
      <c r="F20" s="50">
        <f t="shared" si="14"/>
        <v>10</v>
      </c>
      <c r="G20" s="50">
        <v>6</v>
      </c>
      <c r="H20" s="50">
        <v>1</v>
      </c>
      <c r="I20" s="50">
        <v>3</v>
      </c>
      <c r="J20" s="50"/>
      <c r="K20" s="50"/>
      <c r="L20" s="50"/>
      <c r="M20" s="50"/>
      <c r="N20" s="50">
        <v>4</v>
      </c>
      <c r="O20" s="50">
        <f t="shared" si="15"/>
        <v>14</v>
      </c>
      <c r="P20" s="51">
        <f t="shared" si="0"/>
        <v>207.03219999999999</v>
      </c>
      <c r="Q20" s="51">
        <f t="shared" si="1"/>
        <v>113.79220000000001</v>
      </c>
      <c r="R20" s="47">
        <f t="shared" si="16"/>
        <v>34544</v>
      </c>
      <c r="S20" s="52">
        <v>26023</v>
      </c>
      <c r="T20" s="47">
        <v>8521</v>
      </c>
      <c r="U20" s="47">
        <f t="shared" si="17"/>
        <v>41.452800000000003</v>
      </c>
      <c r="V20" s="51">
        <f t="shared" si="2"/>
        <v>15.75</v>
      </c>
      <c r="W20" s="47">
        <f t="shared" si="18"/>
        <v>15.75</v>
      </c>
      <c r="X20" s="47"/>
      <c r="Y20" s="47"/>
      <c r="Z20" s="47"/>
      <c r="AA20" s="47"/>
      <c r="AB20" s="51">
        <f t="shared" si="19"/>
        <v>19.186299999999999</v>
      </c>
      <c r="AC20" s="47">
        <f t="shared" si="20"/>
        <v>2.6023000000000001</v>
      </c>
      <c r="AD20" s="47"/>
      <c r="AE20" s="47"/>
      <c r="AF20" s="47">
        <f t="shared" si="21"/>
        <v>16.584</v>
      </c>
      <c r="AG20" s="47">
        <v>13820</v>
      </c>
      <c r="AH20" s="47"/>
      <c r="AI20" s="47">
        <f t="shared" si="22"/>
        <v>7.77</v>
      </c>
      <c r="AJ20" s="53">
        <f t="shared" si="23"/>
        <v>13.4655</v>
      </c>
      <c r="AK20" s="53">
        <f t="shared" si="24"/>
        <v>134655</v>
      </c>
      <c r="AL20" s="47"/>
      <c r="AM20" s="47">
        <f t="shared" si="3"/>
        <v>5.5526999999999997</v>
      </c>
      <c r="AN20" s="47">
        <f t="shared" si="4"/>
        <v>5.2278000000000002</v>
      </c>
      <c r="AO20" s="47">
        <f t="shared" si="25"/>
        <v>52278</v>
      </c>
      <c r="AP20" s="47">
        <f t="shared" si="5"/>
        <v>0.32490000000000002</v>
      </c>
      <c r="AQ20" s="47">
        <f t="shared" si="26"/>
        <v>3249</v>
      </c>
      <c r="AR20" s="47"/>
      <c r="AS20" s="47">
        <f t="shared" si="27"/>
        <v>0.51580000000000004</v>
      </c>
      <c r="AT20" s="47">
        <f t="shared" si="6"/>
        <v>0.38979999999999998</v>
      </c>
      <c r="AU20" s="47">
        <f t="shared" si="28"/>
        <v>3898</v>
      </c>
      <c r="AV20" s="47">
        <f t="shared" si="7"/>
        <v>0.126</v>
      </c>
      <c r="AW20" s="47">
        <f t="shared" si="29"/>
        <v>1260</v>
      </c>
      <c r="AX20" s="47">
        <f t="shared" si="8"/>
        <v>10.0991</v>
      </c>
      <c r="AY20" s="47"/>
      <c r="AZ20" s="47"/>
      <c r="BA20" s="54">
        <v>1E-4</v>
      </c>
      <c r="BB20" s="55" t="s">
        <v>145</v>
      </c>
      <c r="BC20" s="51">
        <f t="shared" si="30"/>
        <v>91.32</v>
      </c>
      <c r="BD20" s="47">
        <f t="shared" si="9"/>
        <v>11.280000000000001</v>
      </c>
      <c r="BE20" s="47">
        <f t="shared" si="31"/>
        <v>5.04</v>
      </c>
      <c r="BF20" s="47">
        <v>4200</v>
      </c>
      <c r="BG20" s="56">
        <v>75</v>
      </c>
      <c r="BH20" s="47"/>
      <c r="BI20" s="51">
        <f t="shared" si="10"/>
        <v>1.92</v>
      </c>
      <c r="BJ20" s="51">
        <f t="shared" si="11"/>
        <v>0</v>
      </c>
      <c r="BK20" s="47"/>
      <c r="BL20" s="47"/>
      <c r="BM20" s="47"/>
      <c r="BN20" s="47"/>
      <c r="BO20" s="47"/>
      <c r="BP20" s="47">
        <v>1.92</v>
      </c>
      <c r="BQ20" s="47"/>
      <c r="BR20" s="47"/>
      <c r="BS20" s="53"/>
      <c r="BT20" s="47"/>
      <c r="BU20" s="47"/>
      <c r="BV20" s="47"/>
      <c r="BW20" s="47"/>
      <c r="BX20" s="47">
        <v>13.75</v>
      </c>
      <c r="BY20" s="47"/>
      <c r="BZ20" s="47"/>
      <c r="CA20" s="47"/>
      <c r="CB20" s="54">
        <f t="shared" si="12"/>
        <v>220.78219999999999</v>
      </c>
      <c r="CC20" s="47"/>
      <c r="CD20" s="57"/>
      <c r="CE20" s="47"/>
      <c r="CF20" s="47">
        <f t="shared" si="13"/>
        <v>220.78219999999999</v>
      </c>
    </row>
    <row r="21" spans="1:84" ht="14.25" customHeight="1">
      <c r="A21" s="47">
        <v>14</v>
      </c>
      <c r="B21" s="47" t="s">
        <v>129</v>
      </c>
      <c r="C21" s="48">
        <v>120001</v>
      </c>
      <c r="D21" s="49" t="s">
        <v>146</v>
      </c>
      <c r="E21" s="49" t="s">
        <v>143</v>
      </c>
      <c r="F21" s="50">
        <f t="shared" si="14"/>
        <v>3</v>
      </c>
      <c r="G21" s="50">
        <v>3</v>
      </c>
      <c r="H21" s="50"/>
      <c r="I21" s="50"/>
      <c r="J21" s="50"/>
      <c r="K21" s="50"/>
      <c r="L21" s="50"/>
      <c r="M21" s="50"/>
      <c r="N21" s="50">
        <v>1</v>
      </c>
      <c r="O21" s="50">
        <f t="shared" si="15"/>
        <v>4</v>
      </c>
      <c r="P21" s="51">
        <f t="shared" si="0"/>
        <v>80.198999999999998</v>
      </c>
      <c r="Q21" s="51">
        <f t="shared" si="1"/>
        <v>36.319000000000003</v>
      </c>
      <c r="R21" s="47">
        <f t="shared" si="16"/>
        <v>11212</v>
      </c>
      <c r="S21" s="52">
        <v>11212</v>
      </c>
      <c r="T21" s="47"/>
      <c r="U21" s="47">
        <f t="shared" si="17"/>
        <v>13.4544</v>
      </c>
      <c r="V21" s="51">
        <f t="shared" si="2"/>
        <v>6.75</v>
      </c>
      <c r="W21" s="47">
        <f t="shared" si="18"/>
        <v>6.75</v>
      </c>
      <c r="X21" s="47"/>
      <c r="Y21" s="47"/>
      <c r="Z21" s="47"/>
      <c r="AA21" s="47"/>
      <c r="AB21" s="51">
        <f t="shared" si="19"/>
        <v>6.7275999999999998</v>
      </c>
      <c r="AC21" s="47">
        <f t="shared" si="20"/>
        <v>1.1212</v>
      </c>
      <c r="AD21" s="47"/>
      <c r="AE21" s="47"/>
      <c r="AF21" s="47">
        <f t="shared" si="21"/>
        <v>5.6063999999999998</v>
      </c>
      <c r="AG21" s="47">
        <v>4672</v>
      </c>
      <c r="AH21" s="47"/>
      <c r="AI21" s="47">
        <f t="shared" si="22"/>
        <v>0</v>
      </c>
      <c r="AJ21" s="53">
        <f t="shared" si="23"/>
        <v>4.3090999999999999</v>
      </c>
      <c r="AK21" s="53">
        <f t="shared" si="24"/>
        <v>43091</v>
      </c>
      <c r="AL21" s="47"/>
      <c r="AM21" s="47">
        <f t="shared" si="3"/>
        <v>1.7249000000000001</v>
      </c>
      <c r="AN21" s="47">
        <f t="shared" si="4"/>
        <v>1.6238999999999999</v>
      </c>
      <c r="AO21" s="47">
        <f t="shared" si="25"/>
        <v>16238.999999999998</v>
      </c>
      <c r="AP21" s="47">
        <f t="shared" si="5"/>
        <v>0.10100000000000001</v>
      </c>
      <c r="AQ21" s="47">
        <f t="shared" si="26"/>
        <v>1010.0000000000001</v>
      </c>
      <c r="AR21" s="47"/>
      <c r="AS21" s="47">
        <f t="shared" si="27"/>
        <v>0.1212</v>
      </c>
      <c r="AT21" s="47">
        <f t="shared" si="6"/>
        <v>0.1212</v>
      </c>
      <c r="AU21" s="47">
        <f t="shared" si="28"/>
        <v>1212</v>
      </c>
      <c r="AV21" s="47">
        <f t="shared" si="7"/>
        <v>0</v>
      </c>
      <c r="AW21" s="47">
        <f t="shared" si="29"/>
        <v>0</v>
      </c>
      <c r="AX21" s="47">
        <f t="shared" si="8"/>
        <v>3.2317999999999998</v>
      </c>
      <c r="AY21" s="47"/>
      <c r="AZ21" s="47"/>
      <c r="BA21" s="54">
        <v>1E-4</v>
      </c>
      <c r="BB21" s="55" t="s">
        <v>146</v>
      </c>
      <c r="BC21" s="51">
        <f t="shared" si="30"/>
        <v>43.879999999999995</v>
      </c>
      <c r="BD21" s="47">
        <f t="shared" si="9"/>
        <v>3.5999999999999996</v>
      </c>
      <c r="BE21" s="47">
        <f t="shared" si="31"/>
        <v>2.2799999999999998</v>
      </c>
      <c r="BF21" s="47">
        <v>1900</v>
      </c>
      <c r="BG21" s="56">
        <f>23+15</f>
        <v>38</v>
      </c>
      <c r="BH21" s="47"/>
      <c r="BI21" s="51">
        <f t="shared" si="10"/>
        <v>0</v>
      </c>
      <c r="BJ21" s="51">
        <f t="shared" si="11"/>
        <v>0</v>
      </c>
      <c r="BK21" s="47"/>
      <c r="BL21" s="47"/>
      <c r="BM21" s="47"/>
      <c r="BN21" s="47"/>
      <c r="BO21" s="47"/>
      <c r="BP21" s="47"/>
      <c r="BQ21" s="47"/>
      <c r="BR21" s="47"/>
      <c r="BS21" s="53"/>
      <c r="BT21" s="47"/>
      <c r="BU21" s="47"/>
      <c r="BV21" s="47"/>
      <c r="BW21" s="47"/>
      <c r="BX21" s="47">
        <v>11</v>
      </c>
      <c r="BY21" s="47"/>
      <c r="BZ21" s="47"/>
      <c r="CA21" s="47"/>
      <c r="CB21" s="54">
        <f t="shared" si="12"/>
        <v>91.198999999999998</v>
      </c>
      <c r="CC21" s="47"/>
      <c r="CD21" s="57"/>
      <c r="CE21" s="47"/>
      <c r="CF21" s="47">
        <f t="shared" si="13"/>
        <v>91.198999999999998</v>
      </c>
    </row>
    <row r="22" spans="1:84" ht="14.25" customHeight="1">
      <c r="A22" s="47">
        <v>15</v>
      </c>
      <c r="B22" s="47" t="s">
        <v>129</v>
      </c>
      <c r="C22" s="48">
        <v>119001</v>
      </c>
      <c r="D22" s="49" t="s">
        <v>147</v>
      </c>
      <c r="E22" s="49" t="s">
        <v>143</v>
      </c>
      <c r="F22" s="50">
        <f t="shared" si="14"/>
        <v>4</v>
      </c>
      <c r="G22" s="50">
        <v>4</v>
      </c>
      <c r="H22" s="50"/>
      <c r="I22" s="50"/>
      <c r="J22" s="50"/>
      <c r="K22" s="50"/>
      <c r="L22" s="50"/>
      <c r="M22" s="50"/>
      <c r="N22" s="50"/>
      <c r="O22" s="50">
        <f t="shared" si="15"/>
        <v>4</v>
      </c>
      <c r="P22" s="51">
        <f t="shared" si="0"/>
        <v>64.834000000000003</v>
      </c>
      <c r="Q22" s="51">
        <f t="shared" si="1"/>
        <v>39.934000000000005</v>
      </c>
      <c r="R22" s="47">
        <f t="shared" si="16"/>
        <v>10772</v>
      </c>
      <c r="S22" s="52">
        <v>10772</v>
      </c>
      <c r="T22" s="47">
        <v>0</v>
      </c>
      <c r="U22" s="47">
        <f t="shared" si="17"/>
        <v>12.926399999999999</v>
      </c>
      <c r="V22" s="51">
        <f t="shared" si="2"/>
        <v>9</v>
      </c>
      <c r="W22" s="47">
        <f t="shared" si="18"/>
        <v>9</v>
      </c>
      <c r="X22" s="47"/>
      <c r="Y22" s="47"/>
      <c r="Z22" s="47"/>
      <c r="AA22" s="47"/>
      <c r="AB22" s="51">
        <f t="shared" si="19"/>
        <v>7.7132000000000005</v>
      </c>
      <c r="AC22" s="47">
        <f t="shared" si="20"/>
        <v>1.0771999999999999</v>
      </c>
      <c r="AD22" s="47"/>
      <c r="AE22" s="47"/>
      <c r="AF22" s="47">
        <f t="shared" si="21"/>
        <v>6.6360000000000001</v>
      </c>
      <c r="AG22" s="47">
        <v>5530</v>
      </c>
      <c r="AH22" s="47"/>
      <c r="AI22" s="47">
        <f t="shared" si="22"/>
        <v>0</v>
      </c>
      <c r="AJ22" s="53">
        <f t="shared" si="23"/>
        <v>4.7423000000000002</v>
      </c>
      <c r="AK22" s="53">
        <f t="shared" si="24"/>
        <v>47423</v>
      </c>
      <c r="AL22" s="47"/>
      <c r="AM22" s="47">
        <f t="shared" si="3"/>
        <v>1.8636999999999999</v>
      </c>
      <c r="AN22" s="47">
        <f t="shared" si="4"/>
        <v>1.7541</v>
      </c>
      <c r="AO22" s="47">
        <f t="shared" si="25"/>
        <v>17541</v>
      </c>
      <c r="AP22" s="47">
        <f t="shared" si="5"/>
        <v>0.1096</v>
      </c>
      <c r="AQ22" s="47">
        <f t="shared" si="26"/>
        <v>1096</v>
      </c>
      <c r="AR22" s="47"/>
      <c r="AS22" s="47">
        <f t="shared" si="27"/>
        <v>0.13159999999999999</v>
      </c>
      <c r="AT22" s="47">
        <f t="shared" si="6"/>
        <v>0.13159999999999999</v>
      </c>
      <c r="AU22" s="47">
        <f t="shared" si="28"/>
        <v>1316</v>
      </c>
      <c r="AV22" s="47">
        <f t="shared" si="7"/>
        <v>0</v>
      </c>
      <c r="AW22" s="47">
        <f t="shared" si="29"/>
        <v>0</v>
      </c>
      <c r="AX22" s="47">
        <f t="shared" si="8"/>
        <v>3.5568</v>
      </c>
      <c r="AY22" s="47"/>
      <c r="AZ22" s="47"/>
      <c r="BA22" s="54">
        <v>1E-4</v>
      </c>
      <c r="BB22" s="55" t="s">
        <v>147</v>
      </c>
      <c r="BC22" s="51">
        <f t="shared" si="30"/>
        <v>24.9</v>
      </c>
      <c r="BD22" s="47">
        <f t="shared" si="9"/>
        <v>4.8</v>
      </c>
      <c r="BE22" s="47">
        <f t="shared" si="31"/>
        <v>2.1</v>
      </c>
      <c r="BF22" s="47">
        <v>1750</v>
      </c>
      <c r="BG22" s="56">
        <v>18</v>
      </c>
      <c r="BH22" s="47"/>
      <c r="BI22" s="51">
        <f t="shared" si="10"/>
        <v>0</v>
      </c>
      <c r="BJ22" s="51">
        <f t="shared" si="11"/>
        <v>0</v>
      </c>
      <c r="BK22" s="47"/>
      <c r="BL22" s="47"/>
      <c r="BM22" s="47"/>
      <c r="BN22" s="47"/>
      <c r="BO22" s="47"/>
      <c r="BP22" s="47"/>
      <c r="BQ22" s="47"/>
      <c r="BR22" s="47"/>
      <c r="BS22" s="53"/>
      <c r="BT22" s="47"/>
      <c r="BU22" s="47"/>
      <c r="BV22" s="47"/>
      <c r="BW22" s="47"/>
      <c r="BX22" s="47"/>
      <c r="BY22" s="47"/>
      <c r="BZ22" s="47"/>
      <c r="CA22" s="47"/>
      <c r="CB22" s="54">
        <f t="shared" si="12"/>
        <v>64.834000000000003</v>
      </c>
      <c r="CC22" s="47"/>
      <c r="CD22" s="57"/>
      <c r="CE22" s="47"/>
      <c r="CF22" s="47">
        <f t="shared" si="13"/>
        <v>64.834000000000003</v>
      </c>
    </row>
    <row r="23" spans="1:84" ht="14.25" customHeight="1">
      <c r="A23" s="47">
        <v>16</v>
      </c>
      <c r="B23" s="47" t="s">
        <v>129</v>
      </c>
      <c r="C23" s="48">
        <v>123001</v>
      </c>
      <c r="D23" s="49" t="s">
        <v>148</v>
      </c>
      <c r="E23" s="49" t="s">
        <v>141</v>
      </c>
      <c r="F23" s="50">
        <f t="shared" si="14"/>
        <v>5</v>
      </c>
      <c r="G23" s="50">
        <v>5</v>
      </c>
      <c r="H23" s="50"/>
      <c r="I23" s="50"/>
      <c r="J23" s="50"/>
      <c r="K23" s="50"/>
      <c r="L23" s="50"/>
      <c r="M23" s="50"/>
      <c r="N23" s="50"/>
      <c r="O23" s="50">
        <f t="shared" si="15"/>
        <v>5</v>
      </c>
      <c r="P23" s="51">
        <f t="shared" si="0"/>
        <v>97.210800000000006</v>
      </c>
      <c r="Q23" s="51">
        <f t="shared" si="1"/>
        <v>59.210800000000006</v>
      </c>
      <c r="R23" s="47">
        <f t="shared" si="16"/>
        <v>18366</v>
      </c>
      <c r="S23" s="52">
        <v>18366</v>
      </c>
      <c r="T23" s="47">
        <v>0</v>
      </c>
      <c r="U23" s="47">
        <f t="shared" si="17"/>
        <v>22.039200000000001</v>
      </c>
      <c r="V23" s="51">
        <f t="shared" si="2"/>
        <v>11.25</v>
      </c>
      <c r="W23" s="47">
        <f t="shared" si="18"/>
        <v>11.25</v>
      </c>
      <c r="X23" s="47"/>
      <c r="Y23" s="47"/>
      <c r="Z23" s="47"/>
      <c r="AA23" s="47"/>
      <c r="AB23" s="51">
        <f t="shared" si="19"/>
        <v>10.602600000000001</v>
      </c>
      <c r="AC23" s="47">
        <f t="shared" si="20"/>
        <v>1.8366</v>
      </c>
      <c r="AD23" s="47"/>
      <c r="AE23" s="47"/>
      <c r="AF23" s="47">
        <f t="shared" si="21"/>
        <v>8.766</v>
      </c>
      <c r="AG23" s="47">
        <v>7305</v>
      </c>
      <c r="AH23" s="47"/>
      <c r="AI23" s="47">
        <f t="shared" si="22"/>
        <v>0</v>
      </c>
      <c r="AJ23" s="53">
        <f t="shared" si="23"/>
        <v>7.0227000000000004</v>
      </c>
      <c r="AK23" s="53">
        <f t="shared" si="24"/>
        <v>70227</v>
      </c>
      <c r="AL23" s="47"/>
      <c r="AM23" s="47">
        <f t="shared" si="3"/>
        <v>2.8296000000000001</v>
      </c>
      <c r="AN23" s="47">
        <f t="shared" si="4"/>
        <v>2.6631</v>
      </c>
      <c r="AO23" s="47">
        <f t="shared" si="25"/>
        <v>26631</v>
      </c>
      <c r="AP23" s="47">
        <f t="shared" si="5"/>
        <v>0.16639999999999999</v>
      </c>
      <c r="AQ23" s="47">
        <f t="shared" si="26"/>
        <v>1664</v>
      </c>
      <c r="AR23" s="47"/>
      <c r="AS23" s="47">
        <f t="shared" si="27"/>
        <v>0.19969999999999999</v>
      </c>
      <c r="AT23" s="47">
        <f t="shared" si="6"/>
        <v>0.19969999999999999</v>
      </c>
      <c r="AU23" s="47">
        <f t="shared" si="28"/>
        <v>1997</v>
      </c>
      <c r="AV23" s="47">
        <f t="shared" si="7"/>
        <v>0</v>
      </c>
      <c r="AW23" s="47">
        <f t="shared" si="29"/>
        <v>0</v>
      </c>
      <c r="AX23" s="47">
        <f t="shared" si="8"/>
        <v>5.2670000000000003</v>
      </c>
      <c r="AY23" s="47"/>
      <c r="AZ23" s="47"/>
      <c r="BA23" s="54">
        <v>1E-4</v>
      </c>
      <c r="BB23" s="55" t="s">
        <v>148</v>
      </c>
      <c r="BC23" s="51">
        <f t="shared" si="30"/>
        <v>35.659999999999997</v>
      </c>
      <c r="BD23" s="47">
        <f t="shared" si="9"/>
        <v>6</v>
      </c>
      <c r="BE23" s="47">
        <f t="shared" si="31"/>
        <v>3.66</v>
      </c>
      <c r="BF23" s="47">
        <v>3050</v>
      </c>
      <c r="BG23" s="56">
        <v>26</v>
      </c>
      <c r="BH23" s="47"/>
      <c r="BI23" s="51">
        <f t="shared" si="10"/>
        <v>2.34</v>
      </c>
      <c r="BJ23" s="51">
        <f t="shared" si="11"/>
        <v>0</v>
      </c>
      <c r="BK23" s="47"/>
      <c r="BL23" s="47"/>
      <c r="BM23" s="47"/>
      <c r="BN23" s="47"/>
      <c r="BO23" s="47"/>
      <c r="BP23" s="47">
        <v>2.34</v>
      </c>
      <c r="BQ23" s="47"/>
      <c r="BR23" s="47"/>
      <c r="BS23" s="53"/>
      <c r="BT23" s="47"/>
      <c r="BU23" s="47"/>
      <c r="BV23" s="47"/>
      <c r="BW23" s="47"/>
      <c r="BX23" s="47">
        <v>42</v>
      </c>
      <c r="BY23" s="47"/>
      <c r="BZ23" s="47"/>
      <c r="CA23" s="47"/>
      <c r="CB23" s="54">
        <f t="shared" si="12"/>
        <v>139.21080000000001</v>
      </c>
      <c r="CC23" s="47"/>
      <c r="CD23" s="57"/>
      <c r="CE23" s="47"/>
      <c r="CF23" s="47">
        <f t="shared" si="13"/>
        <v>139.21080000000001</v>
      </c>
    </row>
    <row r="24" spans="1:84" ht="14.25" customHeight="1">
      <c r="A24" s="47">
        <v>17</v>
      </c>
      <c r="B24" s="47" t="s">
        <v>129</v>
      </c>
      <c r="C24" s="48">
        <v>126001</v>
      </c>
      <c r="D24" s="49" t="s">
        <v>149</v>
      </c>
      <c r="E24" s="49" t="s">
        <v>150</v>
      </c>
      <c r="F24" s="50">
        <f t="shared" si="14"/>
        <v>21</v>
      </c>
      <c r="G24" s="50"/>
      <c r="H24" s="50"/>
      <c r="I24" s="50">
        <v>18</v>
      </c>
      <c r="J24" s="50">
        <v>3</v>
      </c>
      <c r="K24" s="50"/>
      <c r="L24" s="50"/>
      <c r="M24" s="50"/>
      <c r="N24" s="50">
        <v>4</v>
      </c>
      <c r="O24" s="50">
        <f t="shared" si="15"/>
        <v>25</v>
      </c>
      <c r="P24" s="51">
        <f t="shared" si="0"/>
        <v>314.19739999999996</v>
      </c>
      <c r="Q24" s="51">
        <f t="shared" si="1"/>
        <v>211.03739999999996</v>
      </c>
      <c r="R24" s="47">
        <f t="shared" si="16"/>
        <v>58872</v>
      </c>
      <c r="S24" s="52"/>
      <c r="T24" s="47">
        <v>58872</v>
      </c>
      <c r="U24" s="47">
        <f t="shared" si="17"/>
        <v>70.6464</v>
      </c>
      <c r="V24" s="51">
        <f t="shared" si="2"/>
        <v>0</v>
      </c>
      <c r="W24" s="47">
        <f t="shared" si="18"/>
        <v>0</v>
      </c>
      <c r="X24" s="47"/>
      <c r="Y24" s="47"/>
      <c r="Z24" s="47"/>
      <c r="AA24" s="47"/>
      <c r="AB24" s="51">
        <f t="shared" si="19"/>
        <v>30.24</v>
      </c>
      <c r="AC24" s="47">
        <f t="shared" si="20"/>
        <v>0</v>
      </c>
      <c r="AD24" s="47"/>
      <c r="AE24" s="47"/>
      <c r="AF24" s="47">
        <f t="shared" si="21"/>
        <v>30.24</v>
      </c>
      <c r="AG24" s="47">
        <v>25200</v>
      </c>
      <c r="AH24" s="47"/>
      <c r="AI24" s="47">
        <f t="shared" si="22"/>
        <v>54.39</v>
      </c>
      <c r="AJ24" s="53">
        <f t="shared" si="23"/>
        <v>24.844200000000001</v>
      </c>
      <c r="AK24" s="53">
        <f t="shared" si="24"/>
        <v>248442</v>
      </c>
      <c r="AL24" s="47"/>
      <c r="AM24" s="47">
        <f t="shared" si="3"/>
        <v>10.658099999999999</v>
      </c>
      <c r="AN24" s="47">
        <f t="shared" si="4"/>
        <v>10.0329</v>
      </c>
      <c r="AO24" s="47">
        <f t="shared" si="25"/>
        <v>100329</v>
      </c>
      <c r="AP24" s="47">
        <f t="shared" si="5"/>
        <v>0.62519999999999998</v>
      </c>
      <c r="AQ24" s="47">
        <f t="shared" si="26"/>
        <v>6252</v>
      </c>
      <c r="AR24" s="47"/>
      <c r="AS24" s="47">
        <f t="shared" si="27"/>
        <v>1.6254999999999999</v>
      </c>
      <c r="AT24" s="47">
        <f t="shared" si="6"/>
        <v>0.75019999999999998</v>
      </c>
      <c r="AU24" s="47">
        <f t="shared" si="28"/>
        <v>7502</v>
      </c>
      <c r="AV24" s="47">
        <f t="shared" si="7"/>
        <v>0.87529999999999997</v>
      </c>
      <c r="AW24" s="47">
        <f t="shared" si="29"/>
        <v>8753</v>
      </c>
      <c r="AX24" s="47">
        <f t="shared" si="8"/>
        <v>18.633199999999999</v>
      </c>
      <c r="AY24" s="47"/>
      <c r="AZ24" s="47"/>
      <c r="BA24" s="54">
        <v>1E-4</v>
      </c>
      <c r="BB24" s="55" t="s">
        <v>149</v>
      </c>
      <c r="BC24" s="51">
        <f t="shared" si="30"/>
        <v>103.16</v>
      </c>
      <c r="BD24" s="47">
        <f t="shared" si="9"/>
        <v>20.16</v>
      </c>
      <c r="BE24" s="47">
        <f t="shared" si="31"/>
        <v>0</v>
      </c>
      <c r="BF24" s="47"/>
      <c r="BG24" s="56">
        <v>83</v>
      </c>
      <c r="BH24" s="47"/>
      <c r="BI24" s="51">
        <f t="shared" si="10"/>
        <v>0</v>
      </c>
      <c r="BJ24" s="51">
        <f t="shared" si="11"/>
        <v>0</v>
      </c>
      <c r="BK24" s="47"/>
      <c r="BL24" s="47"/>
      <c r="BM24" s="47"/>
      <c r="BN24" s="47"/>
      <c r="BO24" s="47"/>
      <c r="BP24" s="47"/>
      <c r="BQ24" s="47"/>
      <c r="BR24" s="47"/>
      <c r="BS24" s="53"/>
      <c r="BT24" s="47"/>
      <c r="BU24" s="47"/>
      <c r="BV24" s="47"/>
      <c r="BW24" s="47"/>
      <c r="BX24" s="47">
        <v>1776</v>
      </c>
      <c r="BY24" s="47"/>
      <c r="BZ24" s="47"/>
      <c r="CA24" s="47"/>
      <c r="CB24" s="54">
        <f t="shared" si="12"/>
        <v>2090.1974</v>
      </c>
      <c r="CC24" s="47"/>
      <c r="CD24" s="57"/>
      <c r="CE24" s="47"/>
      <c r="CF24" s="47">
        <f t="shared" si="13"/>
        <v>2090.1974</v>
      </c>
    </row>
    <row r="25" spans="1:84" ht="14.25" customHeight="1">
      <c r="A25" s="47">
        <v>18</v>
      </c>
      <c r="B25" s="47" t="s">
        <v>129</v>
      </c>
      <c r="C25" s="48">
        <v>122001</v>
      </c>
      <c r="D25" s="49" t="s">
        <v>151</v>
      </c>
      <c r="E25" s="49" t="s">
        <v>131</v>
      </c>
      <c r="F25" s="50">
        <f t="shared" si="14"/>
        <v>17</v>
      </c>
      <c r="G25" s="50">
        <v>12</v>
      </c>
      <c r="H25" s="50">
        <v>1</v>
      </c>
      <c r="I25" s="50">
        <v>2</v>
      </c>
      <c r="J25" s="50">
        <v>2</v>
      </c>
      <c r="K25" s="50"/>
      <c r="L25" s="50"/>
      <c r="M25" s="50"/>
      <c r="N25" s="50">
        <v>3</v>
      </c>
      <c r="O25" s="50">
        <f t="shared" si="15"/>
        <v>20</v>
      </c>
      <c r="P25" s="51">
        <f t="shared" si="0"/>
        <v>230.02510000000001</v>
      </c>
      <c r="Q25" s="51">
        <f t="shared" si="1"/>
        <v>197.92910000000001</v>
      </c>
      <c r="R25" s="47">
        <f t="shared" si="16"/>
        <v>58557</v>
      </c>
      <c r="S25" s="52">
        <v>47593</v>
      </c>
      <c r="T25" s="47">
        <v>10964</v>
      </c>
      <c r="U25" s="47">
        <f t="shared" si="17"/>
        <v>70.2684</v>
      </c>
      <c r="V25" s="51">
        <f t="shared" si="2"/>
        <v>34.043999999999997</v>
      </c>
      <c r="W25" s="47">
        <f t="shared" si="18"/>
        <v>29.25</v>
      </c>
      <c r="X25" s="47"/>
      <c r="Y25" s="47"/>
      <c r="Z25" s="47"/>
      <c r="AA25" s="47">
        <v>4.7939999999999996</v>
      </c>
      <c r="AB25" s="51">
        <f t="shared" si="19"/>
        <v>33.0505</v>
      </c>
      <c r="AC25" s="47">
        <f t="shared" si="20"/>
        <v>4.7592999999999996</v>
      </c>
      <c r="AD25" s="47"/>
      <c r="AE25" s="47"/>
      <c r="AF25" s="47">
        <f t="shared" si="21"/>
        <v>28.2912</v>
      </c>
      <c r="AG25" s="47">
        <v>23576</v>
      </c>
      <c r="AH25" s="47"/>
      <c r="AI25" s="47">
        <f t="shared" si="22"/>
        <v>10.36</v>
      </c>
      <c r="AJ25" s="53">
        <f t="shared" si="23"/>
        <v>22.868600000000001</v>
      </c>
      <c r="AK25" s="53">
        <f t="shared" si="24"/>
        <v>228686</v>
      </c>
      <c r="AL25" s="47"/>
      <c r="AM25" s="47">
        <f t="shared" si="3"/>
        <v>9.3621999999999996</v>
      </c>
      <c r="AN25" s="47">
        <f t="shared" si="4"/>
        <v>8.8127999999999993</v>
      </c>
      <c r="AO25" s="47">
        <f t="shared" si="25"/>
        <v>88128</v>
      </c>
      <c r="AP25" s="47">
        <f t="shared" si="5"/>
        <v>0.5494</v>
      </c>
      <c r="AQ25" s="47">
        <f t="shared" si="26"/>
        <v>5494</v>
      </c>
      <c r="AR25" s="47"/>
      <c r="AS25" s="47">
        <f t="shared" si="27"/>
        <v>0.82389999999999997</v>
      </c>
      <c r="AT25" s="47">
        <f t="shared" si="6"/>
        <v>0.6593</v>
      </c>
      <c r="AU25" s="47">
        <f t="shared" si="28"/>
        <v>6593</v>
      </c>
      <c r="AV25" s="47">
        <f t="shared" si="7"/>
        <v>0.1646</v>
      </c>
      <c r="AW25" s="47">
        <f t="shared" si="29"/>
        <v>1646</v>
      </c>
      <c r="AX25" s="47">
        <f t="shared" si="8"/>
        <v>17.151499999999999</v>
      </c>
      <c r="AY25" s="47"/>
      <c r="AZ25" s="47"/>
      <c r="BA25" s="54">
        <v>1E-4</v>
      </c>
      <c r="BB25" s="55" t="s">
        <v>151</v>
      </c>
      <c r="BC25" s="51">
        <f t="shared" si="30"/>
        <v>31.267999999999997</v>
      </c>
      <c r="BD25" s="47">
        <f t="shared" si="9"/>
        <v>19.439999999999998</v>
      </c>
      <c r="BE25" s="47">
        <f t="shared" si="31"/>
        <v>9.8279999999999994</v>
      </c>
      <c r="BF25" s="47">
        <v>8190</v>
      </c>
      <c r="BG25" s="56">
        <v>2</v>
      </c>
      <c r="BH25" s="47"/>
      <c r="BI25" s="51">
        <f t="shared" si="10"/>
        <v>0.82799999999999996</v>
      </c>
      <c r="BJ25" s="51">
        <f t="shared" si="11"/>
        <v>0</v>
      </c>
      <c r="BK25" s="47"/>
      <c r="BL25" s="47"/>
      <c r="BM25" s="47"/>
      <c r="BN25" s="47"/>
      <c r="BO25" s="47"/>
      <c r="BP25" s="47">
        <v>0.82799999999999996</v>
      </c>
      <c r="BQ25" s="47"/>
      <c r="BR25" s="47"/>
      <c r="BS25" s="53"/>
      <c r="BT25" s="47"/>
      <c r="BU25" s="47"/>
      <c r="BV25" s="47"/>
      <c r="BW25" s="47"/>
      <c r="BX25" s="47"/>
      <c r="BY25" s="47"/>
      <c r="BZ25" s="47"/>
      <c r="CA25" s="47"/>
      <c r="CB25" s="54">
        <f t="shared" si="12"/>
        <v>230.02510000000001</v>
      </c>
      <c r="CC25" s="47"/>
      <c r="CD25" s="57"/>
      <c r="CE25" s="47"/>
      <c r="CF25" s="47">
        <f t="shared" si="13"/>
        <v>230.02510000000001</v>
      </c>
    </row>
    <row r="26" spans="1:84" ht="14.25" customHeight="1">
      <c r="A26" s="47">
        <v>19</v>
      </c>
      <c r="B26" s="47" t="s">
        <v>129</v>
      </c>
      <c r="C26" s="48">
        <v>124001</v>
      </c>
      <c r="D26" s="49" t="s">
        <v>152</v>
      </c>
      <c r="E26" s="49" t="s">
        <v>131</v>
      </c>
      <c r="F26" s="50">
        <f t="shared" si="14"/>
        <v>18</v>
      </c>
      <c r="G26" s="50">
        <v>13</v>
      </c>
      <c r="H26" s="50">
        <v>4</v>
      </c>
      <c r="I26" s="50">
        <v>1</v>
      </c>
      <c r="J26" s="50"/>
      <c r="K26" s="50"/>
      <c r="L26" s="50"/>
      <c r="M26" s="50"/>
      <c r="N26" s="50">
        <v>3</v>
      </c>
      <c r="O26" s="50">
        <f t="shared" si="15"/>
        <v>21</v>
      </c>
      <c r="P26" s="51">
        <f t="shared" si="0"/>
        <v>407.19939999999997</v>
      </c>
      <c r="Q26" s="51">
        <f t="shared" si="1"/>
        <v>256.4314</v>
      </c>
      <c r="R26" s="47">
        <f t="shared" si="16"/>
        <v>61719</v>
      </c>
      <c r="S26" s="52">
        <v>58996</v>
      </c>
      <c r="T26" s="47">
        <v>2723</v>
      </c>
      <c r="U26" s="47">
        <f t="shared" si="17"/>
        <v>74.062799999999996</v>
      </c>
      <c r="V26" s="51">
        <f t="shared" si="2"/>
        <v>38.25</v>
      </c>
      <c r="W26" s="47">
        <f t="shared" si="18"/>
        <v>38.25</v>
      </c>
      <c r="X26" s="47"/>
      <c r="Y26" s="47"/>
      <c r="Z26" s="47"/>
      <c r="AA26" s="47"/>
      <c r="AB26" s="51">
        <f t="shared" si="19"/>
        <v>36.590800000000002</v>
      </c>
      <c r="AC26" s="47">
        <f t="shared" si="20"/>
        <v>5.8996000000000004</v>
      </c>
      <c r="AD26" s="47"/>
      <c r="AE26" s="47"/>
      <c r="AF26" s="47">
        <f t="shared" si="21"/>
        <v>30.691199999999998</v>
      </c>
      <c r="AG26" s="47">
        <v>25576</v>
      </c>
      <c r="AH26" s="47"/>
      <c r="AI26" s="47">
        <f t="shared" si="22"/>
        <v>2.59</v>
      </c>
      <c r="AJ26" s="53">
        <f t="shared" si="23"/>
        <v>24.239000000000001</v>
      </c>
      <c r="AK26" s="53">
        <f t="shared" si="24"/>
        <v>242390</v>
      </c>
      <c r="AL26" s="47"/>
      <c r="AM26" s="47">
        <f t="shared" si="3"/>
        <v>9.7891999999999992</v>
      </c>
      <c r="AN26" s="47">
        <f t="shared" si="4"/>
        <v>9.2147000000000006</v>
      </c>
      <c r="AO26" s="47">
        <f t="shared" si="25"/>
        <v>92147</v>
      </c>
      <c r="AP26" s="47">
        <f t="shared" si="5"/>
        <v>0.57450000000000001</v>
      </c>
      <c r="AQ26" s="47">
        <f t="shared" si="26"/>
        <v>5745</v>
      </c>
      <c r="AR26" s="47"/>
      <c r="AS26" s="47">
        <f t="shared" si="27"/>
        <v>0.73040000000000005</v>
      </c>
      <c r="AT26" s="47">
        <f t="shared" si="6"/>
        <v>0.68940000000000001</v>
      </c>
      <c r="AU26" s="47">
        <f t="shared" si="28"/>
        <v>6894</v>
      </c>
      <c r="AV26" s="47">
        <f t="shared" si="7"/>
        <v>4.1000000000000002E-2</v>
      </c>
      <c r="AW26" s="47">
        <f t="shared" si="29"/>
        <v>410</v>
      </c>
      <c r="AX26" s="47">
        <f t="shared" si="8"/>
        <v>18.179200000000002</v>
      </c>
      <c r="AY26" s="47"/>
      <c r="AZ26" s="47">
        <v>52</v>
      </c>
      <c r="BA26" s="54">
        <v>1E-4</v>
      </c>
      <c r="BB26" s="55" t="s">
        <v>152</v>
      </c>
      <c r="BC26" s="51">
        <f t="shared" si="30"/>
        <v>135.768</v>
      </c>
      <c r="BD26" s="47">
        <f t="shared" si="9"/>
        <v>21.36</v>
      </c>
      <c r="BE26" s="47">
        <f t="shared" si="31"/>
        <v>12.407999999999999</v>
      </c>
      <c r="BF26" s="47">
        <v>10340</v>
      </c>
      <c r="BG26" s="56">
        <f>102</f>
        <v>102</v>
      </c>
      <c r="BH26" s="47"/>
      <c r="BI26" s="51">
        <f t="shared" si="10"/>
        <v>15</v>
      </c>
      <c r="BJ26" s="51">
        <f t="shared" si="11"/>
        <v>0</v>
      </c>
      <c r="BK26" s="47"/>
      <c r="BL26" s="47"/>
      <c r="BM26" s="47"/>
      <c r="BN26" s="47"/>
      <c r="BO26" s="47"/>
      <c r="BP26" s="47"/>
      <c r="BQ26" s="47"/>
      <c r="BR26" s="47"/>
      <c r="BS26" s="53"/>
      <c r="BT26" s="47"/>
      <c r="BU26" s="47"/>
      <c r="BV26" s="47"/>
      <c r="BW26" s="47">
        <v>15</v>
      </c>
      <c r="BX26" s="47">
        <f>174.6+1145</f>
        <v>1319.6</v>
      </c>
      <c r="BY26" s="47"/>
      <c r="BZ26" s="47"/>
      <c r="CA26" s="47"/>
      <c r="CB26" s="54">
        <f t="shared" si="12"/>
        <v>1726.7993999999999</v>
      </c>
      <c r="CC26" s="47"/>
      <c r="CD26" s="57"/>
      <c r="CE26" s="47"/>
      <c r="CF26" s="47">
        <f t="shared" si="13"/>
        <v>1726.7993999999999</v>
      </c>
    </row>
    <row r="27" spans="1:84" ht="14.25" customHeight="1">
      <c r="A27" s="47">
        <v>20</v>
      </c>
      <c r="B27" s="47" t="s">
        <v>129</v>
      </c>
      <c r="C27" s="48">
        <v>118001</v>
      </c>
      <c r="D27" s="49" t="s">
        <v>153</v>
      </c>
      <c r="E27" s="49" t="s">
        <v>131</v>
      </c>
      <c r="F27" s="50">
        <f t="shared" si="14"/>
        <v>17</v>
      </c>
      <c r="G27" s="50">
        <v>11</v>
      </c>
      <c r="H27" s="50"/>
      <c r="I27" s="50">
        <v>6</v>
      </c>
      <c r="J27" s="50"/>
      <c r="K27" s="50"/>
      <c r="L27" s="50"/>
      <c r="M27" s="50"/>
      <c r="N27" s="50">
        <v>3</v>
      </c>
      <c r="O27" s="50">
        <f t="shared" si="15"/>
        <v>20</v>
      </c>
      <c r="P27" s="51">
        <f t="shared" si="0"/>
        <v>231.89749999999998</v>
      </c>
      <c r="Q27" s="51">
        <f t="shared" si="1"/>
        <v>190.77749999999997</v>
      </c>
      <c r="R27" s="47">
        <f t="shared" si="16"/>
        <v>56918</v>
      </c>
      <c r="S27" s="52">
        <v>41891</v>
      </c>
      <c r="T27" s="47">
        <v>15027</v>
      </c>
      <c r="U27" s="47">
        <f t="shared" si="17"/>
        <v>68.301599999999993</v>
      </c>
      <c r="V27" s="51">
        <f t="shared" si="2"/>
        <v>24.75</v>
      </c>
      <c r="W27" s="47">
        <f t="shared" si="18"/>
        <v>24.75</v>
      </c>
      <c r="X27" s="47"/>
      <c r="Y27" s="47"/>
      <c r="Z27" s="47"/>
      <c r="AA27" s="47"/>
      <c r="AB27" s="51">
        <f t="shared" si="19"/>
        <v>32.5319</v>
      </c>
      <c r="AC27" s="47">
        <f t="shared" si="20"/>
        <v>4.1890999999999998</v>
      </c>
      <c r="AD27" s="47"/>
      <c r="AE27" s="47"/>
      <c r="AF27" s="47">
        <f t="shared" si="21"/>
        <v>28.3428</v>
      </c>
      <c r="AG27" s="47">
        <v>23619</v>
      </c>
      <c r="AH27" s="47"/>
      <c r="AI27" s="47">
        <f t="shared" si="22"/>
        <v>15.54</v>
      </c>
      <c r="AJ27" s="53">
        <f t="shared" si="23"/>
        <v>22.579799999999999</v>
      </c>
      <c r="AK27" s="53">
        <f t="shared" si="24"/>
        <v>225798</v>
      </c>
      <c r="AL27" s="47"/>
      <c r="AM27" s="47">
        <f t="shared" si="3"/>
        <v>9.2528000000000006</v>
      </c>
      <c r="AN27" s="47">
        <f t="shared" si="4"/>
        <v>8.7097999999999995</v>
      </c>
      <c r="AO27" s="47">
        <f t="shared" si="25"/>
        <v>87098</v>
      </c>
      <c r="AP27" s="47">
        <f t="shared" si="5"/>
        <v>0.54300000000000004</v>
      </c>
      <c r="AQ27" s="47">
        <f t="shared" si="26"/>
        <v>5430</v>
      </c>
      <c r="AR27" s="47"/>
      <c r="AS27" s="47">
        <f t="shared" si="27"/>
        <v>0.88660000000000005</v>
      </c>
      <c r="AT27" s="47">
        <f t="shared" si="6"/>
        <v>0.65149999999999997</v>
      </c>
      <c r="AU27" s="47">
        <f t="shared" si="28"/>
        <v>6515</v>
      </c>
      <c r="AV27" s="47">
        <f t="shared" si="7"/>
        <v>0.23499999999999999</v>
      </c>
      <c r="AW27" s="47">
        <f t="shared" si="29"/>
        <v>2350</v>
      </c>
      <c r="AX27" s="47">
        <f t="shared" si="8"/>
        <v>16.934799999999999</v>
      </c>
      <c r="AY27" s="47"/>
      <c r="AZ27" s="47"/>
      <c r="BA27" s="54">
        <v>1E-4</v>
      </c>
      <c r="BB27" s="55" t="s">
        <v>153</v>
      </c>
      <c r="BC27" s="51">
        <f t="shared" si="30"/>
        <v>41.120000000000005</v>
      </c>
      <c r="BD27" s="47">
        <f t="shared" si="9"/>
        <v>18.96</v>
      </c>
      <c r="BE27" s="47">
        <f t="shared" si="31"/>
        <v>8.16</v>
      </c>
      <c r="BF27" s="47">
        <v>6800</v>
      </c>
      <c r="BG27" s="56">
        <v>14</v>
      </c>
      <c r="BH27" s="47"/>
      <c r="BI27" s="51">
        <f t="shared" si="10"/>
        <v>0</v>
      </c>
      <c r="BJ27" s="51">
        <f t="shared" si="11"/>
        <v>0</v>
      </c>
      <c r="BK27" s="47"/>
      <c r="BL27" s="47"/>
      <c r="BM27" s="47"/>
      <c r="BN27" s="47"/>
      <c r="BO27" s="47"/>
      <c r="BP27" s="47"/>
      <c r="BQ27" s="47"/>
      <c r="BR27" s="47"/>
      <c r="BS27" s="53"/>
      <c r="BT27" s="47"/>
      <c r="BU27" s="47"/>
      <c r="BV27" s="47"/>
      <c r="BW27" s="47"/>
      <c r="BX27" s="47">
        <v>254</v>
      </c>
      <c r="BY27" s="47"/>
      <c r="BZ27" s="47"/>
      <c r="CA27" s="47"/>
      <c r="CB27" s="54">
        <f t="shared" si="12"/>
        <v>485.89749999999998</v>
      </c>
      <c r="CC27" s="47"/>
      <c r="CD27" s="57"/>
      <c r="CE27" s="47"/>
      <c r="CF27" s="47">
        <f t="shared" si="13"/>
        <v>485.89749999999998</v>
      </c>
    </row>
    <row r="28" spans="1:84" ht="14.25" customHeight="1">
      <c r="A28" s="47">
        <v>21</v>
      </c>
      <c r="B28" s="47" t="s">
        <v>129</v>
      </c>
      <c r="C28" s="48">
        <v>113001</v>
      </c>
      <c r="D28" s="49" t="s">
        <v>154</v>
      </c>
      <c r="E28" s="49" t="s">
        <v>131</v>
      </c>
      <c r="F28" s="50">
        <f t="shared" si="14"/>
        <v>143</v>
      </c>
      <c r="G28" s="50">
        <v>94</v>
      </c>
      <c r="H28" s="50">
        <v>8</v>
      </c>
      <c r="I28" s="50">
        <v>41</v>
      </c>
      <c r="J28" s="50"/>
      <c r="K28" s="50"/>
      <c r="L28" s="50"/>
      <c r="M28" s="50"/>
      <c r="N28" s="50">
        <v>48</v>
      </c>
      <c r="O28" s="50">
        <f t="shared" si="15"/>
        <v>191</v>
      </c>
      <c r="P28" s="51">
        <f t="shared" si="0"/>
        <v>2501.9672399999999</v>
      </c>
      <c r="Q28" s="51">
        <f t="shared" si="1"/>
        <v>1641.76964</v>
      </c>
      <c r="R28" s="47">
        <f t="shared" si="16"/>
        <v>509544.2</v>
      </c>
      <c r="S28" s="58">
        <v>385726.2</v>
      </c>
      <c r="T28" s="51">
        <v>123818</v>
      </c>
      <c r="U28" s="47">
        <f t="shared" si="17"/>
        <v>611.45303999999999</v>
      </c>
      <c r="V28" s="51">
        <f t="shared" si="2"/>
        <v>229.5</v>
      </c>
      <c r="W28" s="47">
        <f t="shared" si="18"/>
        <v>229.5</v>
      </c>
      <c r="X28" s="47"/>
      <c r="Y28" s="47"/>
      <c r="Z28" s="47"/>
      <c r="AA28" s="47"/>
      <c r="AB28" s="51">
        <f t="shared" si="19"/>
        <v>266.47899999999998</v>
      </c>
      <c r="AC28" s="47">
        <f t="shared" si="20"/>
        <v>38.572600000000001</v>
      </c>
      <c r="AD28" s="47"/>
      <c r="AE28" s="47"/>
      <c r="AF28" s="47">
        <f t="shared" si="21"/>
        <v>227.90639999999999</v>
      </c>
      <c r="AG28" s="47">
        <v>189922</v>
      </c>
      <c r="AH28" s="47"/>
      <c r="AI28" s="47">
        <f t="shared" si="22"/>
        <v>106.19</v>
      </c>
      <c r="AJ28" s="53">
        <f t="shared" si="23"/>
        <v>194.17949999999999</v>
      </c>
      <c r="AK28" s="53">
        <f t="shared" si="24"/>
        <v>1941795</v>
      </c>
      <c r="AL28" s="47"/>
      <c r="AM28" s="47">
        <f t="shared" si="3"/>
        <v>80.867199999999997</v>
      </c>
      <c r="AN28" s="47">
        <f t="shared" si="4"/>
        <v>76.131399999999999</v>
      </c>
      <c r="AO28" s="47">
        <f t="shared" si="25"/>
        <v>761314</v>
      </c>
      <c r="AP28" s="47">
        <f t="shared" si="5"/>
        <v>4.7356999999999996</v>
      </c>
      <c r="AQ28" s="47">
        <f t="shared" si="26"/>
        <v>47356.999999999993</v>
      </c>
      <c r="AR28" s="47"/>
      <c r="AS28" s="47">
        <f t="shared" si="27"/>
        <v>7.4663000000000004</v>
      </c>
      <c r="AT28" s="47">
        <f t="shared" si="6"/>
        <v>5.6829000000000001</v>
      </c>
      <c r="AU28" s="47">
        <f t="shared" si="28"/>
        <v>56829</v>
      </c>
      <c r="AV28" s="47">
        <f t="shared" si="7"/>
        <v>1.7834000000000001</v>
      </c>
      <c r="AW28" s="47">
        <f t="shared" si="29"/>
        <v>17834</v>
      </c>
      <c r="AX28" s="47">
        <f t="shared" si="8"/>
        <v>145.63460000000001</v>
      </c>
      <c r="AY28" s="47"/>
      <c r="AZ28" s="47"/>
      <c r="BA28" s="54">
        <v>1E-4</v>
      </c>
      <c r="BB28" s="55" t="s">
        <v>154</v>
      </c>
      <c r="BC28" s="51">
        <f t="shared" si="30"/>
        <v>855.44799999999998</v>
      </c>
      <c r="BD28" s="47">
        <f t="shared" si="9"/>
        <v>161.76</v>
      </c>
      <c r="BE28" s="47">
        <f t="shared" si="31"/>
        <v>71.688000000000002</v>
      </c>
      <c r="BF28" s="47">
        <v>59740</v>
      </c>
      <c r="BG28" s="56">
        <v>120</v>
      </c>
      <c r="BH28" s="47">
        <v>502</v>
      </c>
      <c r="BI28" s="51">
        <f t="shared" si="10"/>
        <v>4.7496</v>
      </c>
      <c r="BJ28" s="51">
        <f t="shared" si="11"/>
        <v>0</v>
      </c>
      <c r="BK28" s="47"/>
      <c r="BL28" s="47"/>
      <c r="BM28" s="47"/>
      <c r="BN28" s="47"/>
      <c r="BO28" s="47"/>
      <c r="BP28" s="47">
        <v>4.7496</v>
      </c>
      <c r="BQ28" s="47"/>
      <c r="BR28" s="47"/>
      <c r="BS28" s="53"/>
      <c r="BT28" s="47"/>
      <c r="BU28" s="47"/>
      <c r="BV28" s="47"/>
      <c r="BW28" s="47"/>
      <c r="BX28" s="47">
        <v>210</v>
      </c>
      <c r="BY28" s="47"/>
      <c r="BZ28" s="47"/>
      <c r="CA28" s="47"/>
      <c r="CB28" s="54">
        <f t="shared" si="12"/>
        <v>2711.9672399999999</v>
      </c>
      <c r="CC28" s="47"/>
      <c r="CD28" s="57"/>
      <c r="CE28" s="47"/>
      <c r="CF28" s="47">
        <f t="shared" si="13"/>
        <v>2711.9672399999999</v>
      </c>
    </row>
    <row r="29" spans="1:84" ht="14.25" customHeight="1">
      <c r="A29" s="47">
        <v>22</v>
      </c>
      <c r="B29" s="47" t="s">
        <v>129</v>
      </c>
      <c r="C29" s="48">
        <v>114001</v>
      </c>
      <c r="D29" s="49" t="s">
        <v>155</v>
      </c>
      <c r="E29" s="49" t="s">
        <v>131</v>
      </c>
      <c r="F29" s="50">
        <f t="shared" si="14"/>
        <v>30</v>
      </c>
      <c r="G29" s="50">
        <v>20</v>
      </c>
      <c r="H29" s="50">
        <v>1</v>
      </c>
      <c r="I29" s="50">
        <v>9</v>
      </c>
      <c r="J29" s="50"/>
      <c r="K29" s="50"/>
      <c r="L29" s="50"/>
      <c r="M29" s="50"/>
      <c r="N29" s="50">
        <v>13</v>
      </c>
      <c r="O29" s="50">
        <f t="shared" si="15"/>
        <v>43</v>
      </c>
      <c r="P29" s="51">
        <f t="shared" si="0"/>
        <v>444.10617999999999</v>
      </c>
      <c r="Q29" s="51">
        <f t="shared" si="1"/>
        <v>345.77817999999996</v>
      </c>
      <c r="R29" s="47">
        <f t="shared" si="16"/>
        <v>102537.4</v>
      </c>
      <c r="S29" s="58">
        <v>80625.399999999994</v>
      </c>
      <c r="T29" s="51">
        <v>21912</v>
      </c>
      <c r="U29" s="47">
        <f t="shared" si="17"/>
        <v>123.04488000000001</v>
      </c>
      <c r="V29" s="51">
        <f t="shared" si="2"/>
        <v>55.17</v>
      </c>
      <c r="W29" s="47">
        <f t="shared" si="18"/>
        <v>47.25</v>
      </c>
      <c r="X29" s="47"/>
      <c r="Y29" s="47"/>
      <c r="Z29" s="47"/>
      <c r="AA29" s="47">
        <v>7.92</v>
      </c>
      <c r="AB29" s="51">
        <f t="shared" si="19"/>
        <v>56.235300000000002</v>
      </c>
      <c r="AC29" s="47">
        <f t="shared" si="20"/>
        <v>8.0625</v>
      </c>
      <c r="AD29" s="47"/>
      <c r="AE29" s="47"/>
      <c r="AF29" s="47">
        <f t="shared" si="21"/>
        <v>48.172800000000002</v>
      </c>
      <c r="AG29" s="47">
        <v>40144</v>
      </c>
      <c r="AH29" s="47"/>
      <c r="AI29" s="47">
        <f t="shared" si="22"/>
        <v>23.31</v>
      </c>
      <c r="AJ29" s="53">
        <f t="shared" si="23"/>
        <v>39.974400000000003</v>
      </c>
      <c r="AK29" s="53">
        <f t="shared" si="24"/>
        <v>399744</v>
      </c>
      <c r="AL29" s="47"/>
      <c r="AM29" s="47">
        <f t="shared" si="3"/>
        <v>16.553899999999999</v>
      </c>
      <c r="AN29" s="47">
        <f t="shared" si="4"/>
        <v>15.585900000000001</v>
      </c>
      <c r="AO29" s="47">
        <f t="shared" si="25"/>
        <v>155859</v>
      </c>
      <c r="AP29" s="47">
        <f t="shared" si="5"/>
        <v>0.96799999999999997</v>
      </c>
      <c r="AQ29" s="47">
        <f t="shared" si="26"/>
        <v>9680</v>
      </c>
      <c r="AR29" s="47"/>
      <c r="AS29" s="47">
        <f t="shared" si="27"/>
        <v>1.5088999999999999</v>
      </c>
      <c r="AT29" s="47">
        <f t="shared" si="6"/>
        <v>1.1616</v>
      </c>
      <c r="AU29" s="47">
        <f t="shared" si="28"/>
        <v>11616</v>
      </c>
      <c r="AV29" s="47">
        <f t="shared" si="7"/>
        <v>0.34720000000000001</v>
      </c>
      <c r="AW29" s="47">
        <f t="shared" si="29"/>
        <v>3472</v>
      </c>
      <c r="AX29" s="47">
        <f t="shared" si="8"/>
        <v>29.980799999999999</v>
      </c>
      <c r="AY29" s="47"/>
      <c r="AZ29" s="47"/>
      <c r="BA29" s="54">
        <v>1E-4</v>
      </c>
      <c r="BB29" s="55" t="s">
        <v>155</v>
      </c>
      <c r="BC29" s="51">
        <f t="shared" si="30"/>
        <v>98.328000000000003</v>
      </c>
      <c r="BD29" s="47">
        <f t="shared" si="9"/>
        <v>33.840000000000003</v>
      </c>
      <c r="BE29" s="47">
        <f t="shared" si="31"/>
        <v>16.488</v>
      </c>
      <c r="BF29" s="47">
        <v>13740</v>
      </c>
      <c r="BG29" s="56">
        <v>42</v>
      </c>
      <c r="BH29" s="47">
        <v>6</v>
      </c>
      <c r="BI29" s="51">
        <f t="shared" si="10"/>
        <v>0</v>
      </c>
      <c r="BJ29" s="51">
        <f t="shared" si="11"/>
        <v>0</v>
      </c>
      <c r="BK29" s="47"/>
      <c r="BL29" s="47"/>
      <c r="BM29" s="47"/>
      <c r="BN29" s="47"/>
      <c r="BO29" s="47"/>
      <c r="BP29" s="47"/>
      <c r="BQ29" s="47"/>
      <c r="BR29" s="47"/>
      <c r="BS29" s="53"/>
      <c r="BT29" s="47"/>
      <c r="BU29" s="47"/>
      <c r="BV29" s="47"/>
      <c r="BW29" s="47"/>
      <c r="BX29" s="47"/>
      <c r="BY29" s="47"/>
      <c r="BZ29" s="47"/>
      <c r="CA29" s="47"/>
      <c r="CB29" s="54">
        <f t="shared" si="12"/>
        <v>444.10617999999999</v>
      </c>
      <c r="CC29" s="47"/>
      <c r="CD29" s="57"/>
      <c r="CE29" s="47"/>
      <c r="CF29" s="47">
        <f t="shared" si="13"/>
        <v>444.10617999999999</v>
      </c>
    </row>
    <row r="30" spans="1:84" ht="14.25" customHeight="1">
      <c r="A30" s="47">
        <v>23</v>
      </c>
      <c r="B30" s="47" t="s">
        <v>129</v>
      </c>
      <c r="C30" s="48">
        <v>110001</v>
      </c>
      <c r="D30" s="49" t="s">
        <v>156</v>
      </c>
      <c r="E30" s="49" t="s">
        <v>157</v>
      </c>
      <c r="F30" s="50">
        <f t="shared" si="14"/>
        <v>304</v>
      </c>
      <c r="G30" s="50">
        <v>272</v>
      </c>
      <c r="H30" s="50">
        <v>23</v>
      </c>
      <c r="I30" s="50">
        <v>9</v>
      </c>
      <c r="J30" s="50"/>
      <c r="K30" s="50"/>
      <c r="L30" s="50"/>
      <c r="M30" s="50"/>
      <c r="N30" s="50">
        <v>90</v>
      </c>
      <c r="O30" s="50">
        <f t="shared" si="15"/>
        <v>394</v>
      </c>
      <c r="P30" s="51">
        <f t="shared" si="0"/>
        <v>9987.6886000000013</v>
      </c>
      <c r="Q30" s="51">
        <f t="shared" si="1"/>
        <v>7539.3486000000003</v>
      </c>
      <c r="R30" s="47">
        <f t="shared" si="16"/>
        <v>1341403</v>
      </c>
      <c r="S30" s="58">
        <v>1311439</v>
      </c>
      <c r="T30" s="51">
        <v>29964</v>
      </c>
      <c r="U30" s="47">
        <f t="shared" si="17"/>
        <v>1609.6836000000001</v>
      </c>
      <c r="V30" s="51">
        <f t="shared" si="2"/>
        <v>1374.99</v>
      </c>
      <c r="W30" s="47">
        <f t="shared" si="18"/>
        <v>663.75</v>
      </c>
      <c r="X30" s="47">
        <v>97.68</v>
      </c>
      <c r="Y30" s="47"/>
      <c r="Z30" s="47"/>
      <c r="AA30" s="47">
        <v>613.55999999999995</v>
      </c>
      <c r="AB30" s="51">
        <f t="shared" si="19"/>
        <v>674.68689999999992</v>
      </c>
      <c r="AC30" s="47">
        <v>103.0609</v>
      </c>
      <c r="AD30" s="47">
        <v>40.7712</v>
      </c>
      <c r="AE30" s="47"/>
      <c r="AF30" s="47">
        <f t="shared" si="21"/>
        <v>530.85479999999995</v>
      </c>
      <c r="AG30" s="47">
        <v>442379</v>
      </c>
      <c r="AH30" s="47"/>
      <c r="AI30" s="47">
        <f t="shared" si="22"/>
        <v>23.31</v>
      </c>
      <c r="AJ30" s="53">
        <f t="shared" si="23"/>
        <v>468.90550000000002</v>
      </c>
      <c r="AK30" s="53">
        <f t="shared" si="24"/>
        <v>4689055</v>
      </c>
      <c r="AL30" s="47"/>
      <c r="AM30" s="47">
        <f t="shared" si="3"/>
        <v>195.8982</v>
      </c>
      <c r="AN30" s="47">
        <f t="shared" si="4"/>
        <v>184.4145</v>
      </c>
      <c r="AO30" s="47">
        <f t="shared" si="25"/>
        <v>1844145</v>
      </c>
      <c r="AP30" s="47">
        <f t="shared" si="5"/>
        <v>11.483700000000001</v>
      </c>
      <c r="AQ30" s="47">
        <f t="shared" si="26"/>
        <v>114837</v>
      </c>
      <c r="AR30" s="47"/>
      <c r="AS30" s="47">
        <f t="shared" si="27"/>
        <v>14.1953</v>
      </c>
      <c r="AT30" s="47">
        <f t="shared" si="6"/>
        <v>13.7805</v>
      </c>
      <c r="AU30" s="47">
        <f t="shared" si="28"/>
        <v>137805</v>
      </c>
      <c r="AV30" s="47">
        <f t="shared" si="7"/>
        <v>0.41489999999999999</v>
      </c>
      <c r="AW30" s="47">
        <f t="shared" si="29"/>
        <v>4149</v>
      </c>
      <c r="AX30" s="47">
        <f t="shared" si="8"/>
        <v>351.67910000000001</v>
      </c>
      <c r="AY30" s="47"/>
      <c r="AZ30" s="47">
        <v>2826</v>
      </c>
      <c r="BA30" s="54">
        <v>1E-4</v>
      </c>
      <c r="BB30" s="55" t="s">
        <v>156</v>
      </c>
      <c r="BC30" s="51">
        <f t="shared" si="30"/>
        <v>2245.0240000000003</v>
      </c>
      <c r="BD30" s="47">
        <f>3*(G30+H30)+0.96*(I30+J30)</f>
        <v>893.64</v>
      </c>
      <c r="BE30" s="47">
        <f t="shared" si="31"/>
        <v>227.184</v>
      </c>
      <c r="BF30" s="47">
        <v>189320</v>
      </c>
      <c r="BG30" s="56">
        <v>305</v>
      </c>
      <c r="BH30" s="47">
        <v>819.2</v>
      </c>
      <c r="BI30" s="51">
        <f t="shared" si="10"/>
        <v>203.316</v>
      </c>
      <c r="BJ30" s="51">
        <f t="shared" si="11"/>
        <v>0</v>
      </c>
      <c r="BK30" s="47"/>
      <c r="BL30" s="47"/>
      <c r="BM30" s="47"/>
      <c r="BN30" s="47"/>
      <c r="BO30" s="47"/>
      <c r="BP30" s="47">
        <v>26.756</v>
      </c>
      <c r="BQ30" s="47"/>
      <c r="BR30" s="47"/>
      <c r="BS30" s="53"/>
      <c r="BT30" s="47"/>
      <c r="BU30" s="47"/>
      <c r="BV30" s="47"/>
      <c r="BW30" s="47">
        <v>176.56</v>
      </c>
      <c r="BX30" s="47">
        <v>414.66</v>
      </c>
      <c r="BY30" s="47"/>
      <c r="BZ30" s="47"/>
      <c r="CA30" s="47"/>
      <c r="CB30" s="54">
        <f t="shared" si="12"/>
        <v>10402.348600000001</v>
      </c>
      <c r="CC30" s="47"/>
      <c r="CD30" s="57"/>
      <c r="CE30" s="47"/>
      <c r="CF30" s="47">
        <f t="shared" si="13"/>
        <v>10402.348600000001</v>
      </c>
    </row>
    <row r="31" spans="1:84" ht="14.25" customHeight="1">
      <c r="A31" s="47">
        <v>24</v>
      </c>
      <c r="B31" s="47" t="s">
        <v>129</v>
      </c>
      <c r="C31" s="48">
        <v>132001</v>
      </c>
      <c r="D31" s="49" t="s">
        <v>158</v>
      </c>
      <c r="E31" s="49" t="s">
        <v>157</v>
      </c>
      <c r="F31" s="50">
        <f t="shared" si="14"/>
        <v>24</v>
      </c>
      <c r="G31" s="50">
        <v>22</v>
      </c>
      <c r="H31" s="50">
        <v>2</v>
      </c>
      <c r="I31" s="50"/>
      <c r="J31" s="50"/>
      <c r="K31" s="50"/>
      <c r="L31" s="50"/>
      <c r="M31" s="50"/>
      <c r="N31" s="50">
        <v>5</v>
      </c>
      <c r="O31" s="50">
        <f t="shared" si="15"/>
        <v>29</v>
      </c>
      <c r="P31" s="51">
        <f t="shared" si="0"/>
        <v>506.14860000000004</v>
      </c>
      <c r="Q31" s="51">
        <f t="shared" si="1"/>
        <v>377.14060000000001</v>
      </c>
      <c r="R31" s="47">
        <f t="shared" si="16"/>
        <v>107063</v>
      </c>
      <c r="S31" s="58">
        <v>107063</v>
      </c>
      <c r="T31" s="51"/>
      <c r="U31" s="47">
        <f t="shared" si="17"/>
        <v>128.47559999999999</v>
      </c>
      <c r="V31" s="51">
        <f t="shared" si="2"/>
        <v>112.68</v>
      </c>
      <c r="W31" s="47">
        <f t="shared" si="18"/>
        <v>54</v>
      </c>
      <c r="X31" s="47">
        <v>6.5519999999999996</v>
      </c>
      <c r="Y31" s="47"/>
      <c r="Z31" s="47"/>
      <c r="AA31" s="47">
        <v>52.128</v>
      </c>
      <c r="AB31" s="51">
        <f t="shared" si="19"/>
        <v>53.863500000000002</v>
      </c>
      <c r="AC31" s="47">
        <v>8.5203000000000007</v>
      </c>
      <c r="AD31" s="47">
        <v>2.4864000000000002</v>
      </c>
      <c r="AE31" s="47"/>
      <c r="AF31" s="47">
        <f t="shared" si="21"/>
        <v>42.8568</v>
      </c>
      <c r="AG31" s="47">
        <v>35714</v>
      </c>
      <c r="AH31" s="47"/>
      <c r="AI31" s="47">
        <f t="shared" si="22"/>
        <v>0</v>
      </c>
      <c r="AJ31" s="53">
        <f t="shared" si="23"/>
        <v>37.416400000000003</v>
      </c>
      <c r="AK31" s="53">
        <f t="shared" si="24"/>
        <v>374164.00000000006</v>
      </c>
      <c r="AL31" s="47"/>
      <c r="AM31" s="47">
        <f t="shared" si="3"/>
        <v>15.5479</v>
      </c>
      <c r="AN31" s="47">
        <f t="shared" si="4"/>
        <v>14.6355</v>
      </c>
      <c r="AO31" s="47">
        <f t="shared" si="25"/>
        <v>146355</v>
      </c>
      <c r="AP31" s="47">
        <f t="shared" si="5"/>
        <v>0.91239999999999999</v>
      </c>
      <c r="AQ31" s="47">
        <f t="shared" si="26"/>
        <v>9124</v>
      </c>
      <c r="AR31" s="47"/>
      <c r="AS31" s="47">
        <f t="shared" si="27"/>
        <v>1.0949</v>
      </c>
      <c r="AT31" s="47">
        <f t="shared" si="6"/>
        <v>1.0949</v>
      </c>
      <c r="AU31" s="47">
        <f t="shared" si="28"/>
        <v>10949</v>
      </c>
      <c r="AV31" s="47">
        <f t="shared" si="7"/>
        <v>0</v>
      </c>
      <c r="AW31" s="47">
        <f t="shared" si="29"/>
        <v>0</v>
      </c>
      <c r="AX31" s="47">
        <f t="shared" si="8"/>
        <v>28.0623</v>
      </c>
      <c r="AY31" s="47"/>
      <c r="AZ31" s="47"/>
      <c r="BA31" s="54">
        <v>1E-4</v>
      </c>
      <c r="BB31" s="55" t="s">
        <v>158</v>
      </c>
      <c r="BC31" s="51">
        <f t="shared" si="30"/>
        <v>127.01599999999999</v>
      </c>
      <c r="BD31" s="47">
        <f t="shared" ref="BD31:BD32" si="32">3*(G31+H31)+0.96*(I31+J31)</f>
        <v>72</v>
      </c>
      <c r="BE31" s="47">
        <f t="shared" si="31"/>
        <v>18.515999999999998</v>
      </c>
      <c r="BF31" s="47">
        <v>15430</v>
      </c>
      <c r="BG31" s="56">
        <v>14</v>
      </c>
      <c r="BH31" s="47">
        <v>22.5</v>
      </c>
      <c r="BI31" s="51">
        <f t="shared" si="10"/>
        <v>1.992</v>
      </c>
      <c r="BJ31" s="51">
        <f t="shared" si="11"/>
        <v>0</v>
      </c>
      <c r="BK31" s="47"/>
      <c r="BL31" s="47"/>
      <c r="BM31" s="47"/>
      <c r="BN31" s="47"/>
      <c r="BO31" s="47"/>
      <c r="BP31" s="47">
        <v>1.992</v>
      </c>
      <c r="BQ31" s="47"/>
      <c r="BR31" s="47"/>
      <c r="BS31" s="53"/>
      <c r="BT31" s="47"/>
      <c r="BU31" s="47"/>
      <c r="BV31" s="47"/>
      <c r="BW31" s="47"/>
      <c r="BX31" s="47"/>
      <c r="BY31" s="47"/>
      <c r="BZ31" s="47"/>
      <c r="CA31" s="47"/>
      <c r="CB31" s="54">
        <f t="shared" si="12"/>
        <v>506.14860000000004</v>
      </c>
      <c r="CC31" s="47"/>
      <c r="CD31" s="57"/>
      <c r="CE31" s="47"/>
      <c r="CF31" s="47">
        <f t="shared" si="13"/>
        <v>506.14860000000004</v>
      </c>
    </row>
    <row r="32" spans="1:84" ht="14.25" customHeight="1">
      <c r="A32" s="47">
        <v>25</v>
      </c>
      <c r="B32" s="47" t="s">
        <v>129</v>
      </c>
      <c r="C32" s="48">
        <v>112001</v>
      </c>
      <c r="D32" s="49" t="s">
        <v>159</v>
      </c>
      <c r="E32" s="49" t="s">
        <v>157</v>
      </c>
      <c r="F32" s="50">
        <f t="shared" si="14"/>
        <v>91</v>
      </c>
      <c r="G32" s="50">
        <v>62</v>
      </c>
      <c r="H32" s="50">
        <v>29</v>
      </c>
      <c r="I32" s="50"/>
      <c r="J32" s="50"/>
      <c r="K32" s="50"/>
      <c r="L32" s="50"/>
      <c r="M32" s="50"/>
      <c r="N32" s="50">
        <v>9</v>
      </c>
      <c r="O32" s="50">
        <f t="shared" si="15"/>
        <v>100</v>
      </c>
      <c r="P32" s="51">
        <f t="shared" si="0"/>
        <v>2653.7665000000002</v>
      </c>
      <c r="Q32" s="51">
        <f t="shared" si="1"/>
        <v>1766.5265000000002</v>
      </c>
      <c r="R32" s="47">
        <f t="shared" si="16"/>
        <v>387924</v>
      </c>
      <c r="S32" s="58">
        <v>387924</v>
      </c>
      <c r="T32" s="51"/>
      <c r="U32" s="47">
        <f t="shared" si="17"/>
        <v>465.50880000000001</v>
      </c>
      <c r="V32" s="51">
        <f t="shared" si="2"/>
        <v>441.13799999999998</v>
      </c>
      <c r="W32" s="47">
        <f t="shared" si="18"/>
        <v>204.75</v>
      </c>
      <c r="X32" s="47">
        <v>38.735999999999997</v>
      </c>
      <c r="Y32" s="47"/>
      <c r="Z32" s="47"/>
      <c r="AA32" s="47">
        <v>197.65199999999999</v>
      </c>
      <c r="AB32" s="51">
        <f t="shared" si="19"/>
        <v>198.95839999999998</v>
      </c>
      <c r="AC32" s="47">
        <v>32.032400000000003</v>
      </c>
      <c r="AD32" s="47">
        <v>12.573600000000001</v>
      </c>
      <c r="AE32" s="47"/>
      <c r="AF32" s="47">
        <f t="shared" si="21"/>
        <v>154.35239999999999</v>
      </c>
      <c r="AG32" s="47">
        <v>128627</v>
      </c>
      <c r="AH32" s="47"/>
      <c r="AI32" s="47">
        <f t="shared" si="22"/>
        <v>0</v>
      </c>
      <c r="AJ32" s="53">
        <f t="shared" si="23"/>
        <v>137.06299999999999</v>
      </c>
      <c r="AK32" s="53">
        <f t="shared" si="24"/>
        <v>1370629.9999999998</v>
      </c>
      <c r="AL32" s="47"/>
      <c r="AM32" s="47">
        <f t="shared" si="3"/>
        <v>57.039499999999997</v>
      </c>
      <c r="AN32" s="47">
        <f t="shared" si="4"/>
        <v>53.688200000000002</v>
      </c>
      <c r="AO32" s="47">
        <f t="shared" si="25"/>
        <v>536882</v>
      </c>
      <c r="AP32" s="47">
        <f t="shared" si="5"/>
        <v>3.3513000000000002</v>
      </c>
      <c r="AQ32" s="47">
        <f t="shared" si="26"/>
        <v>33513</v>
      </c>
      <c r="AR32" s="47"/>
      <c r="AS32" s="47">
        <f t="shared" si="27"/>
        <v>4.0216000000000003</v>
      </c>
      <c r="AT32" s="47">
        <f t="shared" si="6"/>
        <v>4.0216000000000003</v>
      </c>
      <c r="AU32" s="47">
        <f t="shared" si="28"/>
        <v>40216</v>
      </c>
      <c r="AV32" s="47">
        <f t="shared" si="7"/>
        <v>0</v>
      </c>
      <c r="AW32" s="47">
        <f t="shared" si="29"/>
        <v>0</v>
      </c>
      <c r="AX32" s="47">
        <f t="shared" si="8"/>
        <v>102.7972</v>
      </c>
      <c r="AY32" s="47"/>
      <c r="AZ32" s="47">
        <v>360</v>
      </c>
      <c r="BA32" s="54">
        <v>1E-4</v>
      </c>
      <c r="BB32" s="55" t="s">
        <v>159</v>
      </c>
      <c r="BC32" s="51">
        <f t="shared" si="30"/>
        <v>887.24</v>
      </c>
      <c r="BD32" s="47">
        <f t="shared" si="32"/>
        <v>273</v>
      </c>
      <c r="BE32" s="47">
        <f t="shared" si="31"/>
        <v>66.239999999999995</v>
      </c>
      <c r="BF32" s="47">
        <v>55200</v>
      </c>
      <c r="BG32" s="56">
        <v>132</v>
      </c>
      <c r="BH32" s="47">
        <v>416</v>
      </c>
      <c r="BI32" s="51">
        <f t="shared" si="10"/>
        <v>0</v>
      </c>
      <c r="BJ32" s="51">
        <f t="shared" si="11"/>
        <v>0</v>
      </c>
      <c r="BK32" s="47"/>
      <c r="BL32" s="47"/>
      <c r="BM32" s="47"/>
      <c r="BN32" s="47"/>
      <c r="BO32" s="47"/>
      <c r="BP32" s="47"/>
      <c r="BQ32" s="47"/>
      <c r="BR32" s="47"/>
      <c r="BS32" s="53"/>
      <c r="BT32" s="47"/>
      <c r="BU32" s="47"/>
      <c r="BV32" s="47"/>
      <c r="BW32" s="47"/>
      <c r="BX32" s="47">
        <v>50</v>
      </c>
      <c r="BY32" s="47"/>
      <c r="BZ32" s="47"/>
      <c r="CA32" s="47"/>
      <c r="CB32" s="54">
        <f t="shared" si="12"/>
        <v>2703.7665000000002</v>
      </c>
      <c r="CC32" s="47"/>
      <c r="CD32" s="57"/>
      <c r="CE32" s="47"/>
      <c r="CF32" s="47">
        <f t="shared" si="13"/>
        <v>2703.7665000000002</v>
      </c>
    </row>
    <row r="33" spans="1:84" ht="14.25" customHeight="1">
      <c r="A33" s="47">
        <v>26</v>
      </c>
      <c r="B33" s="47" t="s">
        <v>129</v>
      </c>
      <c r="C33" s="48">
        <v>111001</v>
      </c>
      <c r="D33" s="49" t="s">
        <v>160</v>
      </c>
      <c r="E33" s="49" t="s">
        <v>131</v>
      </c>
      <c r="F33" s="50">
        <f t="shared" si="14"/>
        <v>77</v>
      </c>
      <c r="G33" s="50">
        <v>45</v>
      </c>
      <c r="H33" s="50">
        <v>20</v>
      </c>
      <c r="I33" s="50">
        <v>12</v>
      </c>
      <c r="J33" s="50"/>
      <c r="K33" s="50"/>
      <c r="L33" s="50">
        <v>3</v>
      </c>
      <c r="M33" s="50"/>
      <c r="N33" s="50">
        <v>13</v>
      </c>
      <c r="O33" s="50">
        <f t="shared" si="15"/>
        <v>93</v>
      </c>
      <c r="P33" s="51">
        <f t="shared" si="0"/>
        <v>1176.6955</v>
      </c>
      <c r="Q33" s="51">
        <f t="shared" si="1"/>
        <v>959.1155</v>
      </c>
      <c r="R33" s="47">
        <f t="shared" si="16"/>
        <v>245229</v>
      </c>
      <c r="S33" s="58">
        <v>213449</v>
      </c>
      <c r="T33" s="51">
        <f>38134-6354</f>
        <v>31780</v>
      </c>
      <c r="U33" s="47">
        <f>ROUND(R33*12/10000,5)+2*L33</f>
        <v>300.27480000000003</v>
      </c>
      <c r="V33" s="51">
        <f t="shared" si="2"/>
        <v>255.54599999999999</v>
      </c>
      <c r="W33" s="47">
        <f t="shared" si="18"/>
        <v>146.25</v>
      </c>
      <c r="X33" s="47">
        <v>44.496000000000002</v>
      </c>
      <c r="Y33" s="47"/>
      <c r="Z33" s="47"/>
      <c r="AA33" s="47">
        <v>64.8</v>
      </c>
      <c r="AB33" s="51">
        <f t="shared" si="19"/>
        <v>153.15289999999999</v>
      </c>
      <c r="AC33" s="47">
        <f t="shared" si="20"/>
        <v>21.344899999999999</v>
      </c>
      <c r="AD33" s="47">
        <v>8.8439999999999994</v>
      </c>
      <c r="AE33" s="47"/>
      <c r="AF33" s="47">
        <f t="shared" si="21"/>
        <v>122.964</v>
      </c>
      <c r="AG33" s="47">
        <v>102470</v>
      </c>
      <c r="AH33" s="47"/>
      <c r="AI33" s="47">
        <f>ROUND(2.59*(I33+J33+K33),4)+L33*2.59*0.4</f>
        <v>34.187999999999995</v>
      </c>
      <c r="AJ33" s="53">
        <f>ROUND((U33+W33+AC33+AE33+AF33+AI33-2.59*3*0.4-6)*0.16,4)</f>
        <v>98.546199999999999</v>
      </c>
      <c r="AK33" s="53">
        <f t="shared" si="24"/>
        <v>985462</v>
      </c>
      <c r="AL33" s="47"/>
      <c r="AM33" s="47">
        <f>ROUND(((U33+W33+AI33-6-3*2.59*0.4)*0.085+N33*0.0075),4)</f>
        <v>40.183900000000001</v>
      </c>
      <c r="AN33" s="47">
        <f>ROUND(((U33+W33+AI33-6-2.59*3*0.4)*0.08+N33*0.0075),4)</f>
        <v>37.825899999999997</v>
      </c>
      <c r="AO33" s="47">
        <f t="shared" si="25"/>
        <v>378259</v>
      </c>
      <c r="AP33" s="47">
        <f>ROUND(((U33+W33+AI33-6-2.59*3*0.4)*0.005),4)</f>
        <v>2.3580000000000001</v>
      </c>
      <c r="AQ33" s="47">
        <f t="shared" si="26"/>
        <v>23580</v>
      </c>
      <c r="AR33" s="47"/>
      <c r="AS33" s="47">
        <f>ROUND(((T33*12/10000+AI33-3*2.59*0.4)*0.007+(U33+W33+AI33-6-3*2.59*0.4)*0.006),4)</f>
        <v>3.3140999999999998</v>
      </c>
      <c r="AT33" s="47">
        <f>ROUND(((U33+W33+AI33-6-2.59*3*0.4)*0.006),4)</f>
        <v>2.8296000000000001</v>
      </c>
      <c r="AU33" s="47">
        <f t="shared" si="28"/>
        <v>28296</v>
      </c>
      <c r="AV33" s="47">
        <f>ROUND(((T33*12/10000+AI33-2.59*3*0.4)*0.007),4)</f>
        <v>0.48449999999999999</v>
      </c>
      <c r="AW33" s="47">
        <f t="shared" si="29"/>
        <v>4845</v>
      </c>
      <c r="AX33" s="47">
        <f>ROUND((U33+W33+AC33+AE33+AF33+AI33-2.59*3*0.4-6)*0.12,4)</f>
        <v>73.909599999999998</v>
      </c>
      <c r="AY33" s="47"/>
      <c r="AZ33" s="47"/>
      <c r="BA33" s="54">
        <v>1E-4</v>
      </c>
      <c r="BB33" s="55" t="s">
        <v>160</v>
      </c>
      <c r="BC33" s="51">
        <f t="shared" si="30"/>
        <v>214.43599999999998</v>
      </c>
      <c r="BD33" s="47">
        <f t="shared" ref="BD33:BD96" si="33">1.2*(G33+H33)+0.96*(I33+J33)</f>
        <v>89.52</v>
      </c>
      <c r="BE33" s="47">
        <f t="shared" si="31"/>
        <v>44.915999999999997</v>
      </c>
      <c r="BF33" s="47">
        <v>37430</v>
      </c>
      <c r="BG33" s="56">
        <v>80</v>
      </c>
      <c r="BH33" s="47"/>
      <c r="BI33" s="51">
        <f t="shared" si="10"/>
        <v>3.1440000000000001</v>
      </c>
      <c r="BJ33" s="51">
        <f t="shared" si="11"/>
        <v>0</v>
      </c>
      <c r="BK33" s="47"/>
      <c r="BL33" s="47"/>
      <c r="BM33" s="47"/>
      <c r="BN33" s="47"/>
      <c r="BO33" s="47"/>
      <c r="BP33" s="47">
        <v>3.1440000000000001</v>
      </c>
      <c r="BQ33" s="47"/>
      <c r="BR33" s="47"/>
      <c r="BS33" s="53"/>
      <c r="BT33" s="47"/>
      <c r="BU33" s="47"/>
      <c r="BV33" s="47"/>
      <c r="BW33" s="47"/>
      <c r="BX33" s="47">
        <v>138</v>
      </c>
      <c r="BY33" s="47"/>
      <c r="BZ33" s="47"/>
      <c r="CA33" s="47"/>
      <c r="CB33" s="54">
        <f t="shared" si="12"/>
        <v>1314.6955</v>
      </c>
      <c r="CC33" s="47"/>
      <c r="CD33" s="57"/>
      <c r="CE33" s="47"/>
      <c r="CF33" s="47">
        <f t="shared" si="13"/>
        <v>1314.6955</v>
      </c>
    </row>
    <row r="34" spans="1:84" ht="14.25" customHeight="1">
      <c r="A34" s="47">
        <v>27</v>
      </c>
      <c r="B34" s="47" t="s">
        <v>129</v>
      </c>
      <c r="C34" s="48">
        <v>125001</v>
      </c>
      <c r="D34" s="49" t="s">
        <v>161</v>
      </c>
      <c r="E34" s="49" t="s">
        <v>131</v>
      </c>
      <c r="F34" s="50">
        <f t="shared" si="14"/>
        <v>136</v>
      </c>
      <c r="G34" s="50">
        <v>83</v>
      </c>
      <c r="H34" s="50">
        <v>8</v>
      </c>
      <c r="I34" s="50">
        <v>31</v>
      </c>
      <c r="J34" s="50">
        <v>14</v>
      </c>
      <c r="K34" s="50"/>
      <c r="L34" s="50"/>
      <c r="M34" s="50"/>
      <c r="N34" s="50">
        <v>94</v>
      </c>
      <c r="O34" s="50">
        <f t="shared" si="15"/>
        <v>230</v>
      </c>
      <c r="P34" s="51">
        <f t="shared" si="0"/>
        <v>2118.2518000000005</v>
      </c>
      <c r="Q34" s="51">
        <f t="shared" si="1"/>
        <v>1676.1918000000003</v>
      </c>
      <c r="R34" s="47">
        <f t="shared" si="16"/>
        <v>473497</v>
      </c>
      <c r="S34" s="58">
        <v>331713</v>
      </c>
      <c r="T34" s="51">
        <v>141784</v>
      </c>
      <c r="U34" s="47">
        <f t="shared" si="17"/>
        <v>568.19640000000004</v>
      </c>
      <c r="V34" s="51">
        <f t="shared" si="2"/>
        <v>246.078</v>
      </c>
      <c r="W34" s="47">
        <f t="shared" si="18"/>
        <v>204.75</v>
      </c>
      <c r="X34" s="47">
        <v>41.328000000000003</v>
      </c>
      <c r="Y34" s="47"/>
      <c r="Z34" s="47"/>
      <c r="AA34" s="47"/>
      <c r="AB34" s="51">
        <f t="shared" si="19"/>
        <v>262.77690000000001</v>
      </c>
      <c r="AC34" s="47">
        <f t="shared" si="20"/>
        <v>33.171300000000002</v>
      </c>
      <c r="AD34" s="47">
        <v>13.2216</v>
      </c>
      <c r="AE34" s="47"/>
      <c r="AF34" s="47">
        <f t="shared" si="21"/>
        <v>216.38399999999999</v>
      </c>
      <c r="AG34" s="47">
        <v>180320</v>
      </c>
      <c r="AH34" s="47"/>
      <c r="AI34" s="47">
        <f t="shared" si="22"/>
        <v>116.55</v>
      </c>
      <c r="AJ34" s="53">
        <f t="shared" si="23"/>
        <v>182.2483</v>
      </c>
      <c r="AK34" s="53">
        <f t="shared" si="24"/>
        <v>1822483</v>
      </c>
      <c r="AL34" s="47"/>
      <c r="AM34" s="47">
        <f t="shared" si="3"/>
        <v>76.312200000000004</v>
      </c>
      <c r="AN34" s="47">
        <f t="shared" si="4"/>
        <v>71.864699999999999</v>
      </c>
      <c r="AO34" s="47">
        <f t="shared" si="25"/>
        <v>718647</v>
      </c>
      <c r="AP34" s="47">
        <f t="shared" si="5"/>
        <v>4.4474999999999998</v>
      </c>
      <c r="AQ34" s="47">
        <f t="shared" si="26"/>
        <v>44475</v>
      </c>
      <c r="AR34" s="47"/>
      <c r="AS34" s="47">
        <f t="shared" si="27"/>
        <v>7.3437999999999999</v>
      </c>
      <c r="AT34" s="47">
        <f t="shared" si="6"/>
        <v>5.3369999999999997</v>
      </c>
      <c r="AU34" s="47">
        <f t="shared" si="28"/>
        <v>53370</v>
      </c>
      <c r="AV34" s="47">
        <f t="shared" si="7"/>
        <v>2.0068000000000001</v>
      </c>
      <c r="AW34" s="47">
        <f t="shared" si="29"/>
        <v>20068</v>
      </c>
      <c r="AX34" s="47">
        <f t="shared" si="8"/>
        <v>136.68620000000001</v>
      </c>
      <c r="AY34" s="47"/>
      <c r="AZ34" s="47">
        <v>80</v>
      </c>
      <c r="BA34" s="54">
        <v>1E-4</v>
      </c>
      <c r="BB34" s="55" t="s">
        <v>161</v>
      </c>
      <c r="BC34" s="51">
        <f t="shared" si="30"/>
        <v>428.06799999999998</v>
      </c>
      <c r="BD34" s="47">
        <f t="shared" si="33"/>
        <v>152.4</v>
      </c>
      <c r="BE34" s="47">
        <f t="shared" si="31"/>
        <v>64.668000000000006</v>
      </c>
      <c r="BF34" s="47">
        <v>53890</v>
      </c>
      <c r="BG34" s="56">
        <v>121</v>
      </c>
      <c r="BH34" s="47">
        <v>90</v>
      </c>
      <c r="BI34" s="51">
        <f t="shared" si="10"/>
        <v>13.992000000000001</v>
      </c>
      <c r="BJ34" s="51">
        <f t="shared" si="11"/>
        <v>0</v>
      </c>
      <c r="BK34" s="47"/>
      <c r="BL34" s="47"/>
      <c r="BM34" s="47"/>
      <c r="BN34" s="47"/>
      <c r="BO34" s="47"/>
      <c r="BP34" s="47">
        <v>13.992000000000001</v>
      </c>
      <c r="BQ34" s="47"/>
      <c r="BR34" s="47"/>
      <c r="BS34" s="53"/>
      <c r="BT34" s="47"/>
      <c r="BU34" s="47"/>
      <c r="BV34" s="47"/>
      <c r="BW34" s="47"/>
      <c r="BX34" s="47">
        <v>301</v>
      </c>
      <c r="BY34" s="47"/>
      <c r="BZ34" s="47"/>
      <c r="CA34" s="47"/>
      <c r="CB34" s="54">
        <f t="shared" si="12"/>
        <v>2419.2518000000005</v>
      </c>
      <c r="CC34" s="47"/>
      <c r="CD34" s="57"/>
      <c r="CE34" s="47"/>
      <c r="CF34" s="47">
        <f t="shared" si="13"/>
        <v>2419.2518000000005</v>
      </c>
    </row>
    <row r="35" spans="1:84" ht="14.25" customHeight="1">
      <c r="A35" s="47">
        <v>28</v>
      </c>
      <c r="B35" s="47" t="s">
        <v>129</v>
      </c>
      <c r="C35" s="48">
        <v>101003</v>
      </c>
      <c r="D35" s="49" t="s">
        <v>162</v>
      </c>
      <c r="E35" s="49" t="s">
        <v>131</v>
      </c>
      <c r="F35" s="50">
        <f t="shared" si="14"/>
        <v>8</v>
      </c>
      <c r="G35" s="50">
        <v>6</v>
      </c>
      <c r="H35" s="50"/>
      <c r="I35" s="50">
        <v>2</v>
      </c>
      <c r="J35" s="50"/>
      <c r="K35" s="50"/>
      <c r="L35" s="50"/>
      <c r="M35" s="50"/>
      <c r="N35" s="50"/>
      <c r="O35" s="50">
        <f t="shared" si="15"/>
        <v>8</v>
      </c>
      <c r="P35" s="51">
        <f t="shared" si="0"/>
        <v>164.38489999999999</v>
      </c>
      <c r="Q35" s="51">
        <f t="shared" si="1"/>
        <v>113.00489999999999</v>
      </c>
      <c r="R35" s="47">
        <f t="shared" si="16"/>
        <v>23708</v>
      </c>
      <c r="S35" s="58">
        <v>18386</v>
      </c>
      <c r="T35" s="51">
        <v>5322</v>
      </c>
      <c r="U35" s="47">
        <f t="shared" si="17"/>
        <v>28.4496</v>
      </c>
      <c r="V35" s="51">
        <f t="shared" si="2"/>
        <v>13.5</v>
      </c>
      <c r="W35" s="47">
        <f t="shared" si="18"/>
        <v>13.5</v>
      </c>
      <c r="X35" s="47"/>
      <c r="Y35" s="47"/>
      <c r="Z35" s="47"/>
      <c r="AA35" s="47"/>
      <c r="AB35" s="51">
        <f t="shared" si="19"/>
        <v>15.0854</v>
      </c>
      <c r="AC35" s="47">
        <f t="shared" si="20"/>
        <v>1.8386</v>
      </c>
      <c r="AD35" s="47"/>
      <c r="AE35" s="47"/>
      <c r="AF35" s="47">
        <f t="shared" si="21"/>
        <v>13.2468</v>
      </c>
      <c r="AG35" s="47">
        <v>11039</v>
      </c>
      <c r="AH35" s="47"/>
      <c r="AI35" s="47">
        <f t="shared" si="22"/>
        <v>5.18</v>
      </c>
      <c r="AJ35" s="53">
        <f t="shared" si="23"/>
        <v>9.9543999999999997</v>
      </c>
      <c r="AK35" s="53">
        <f t="shared" si="24"/>
        <v>99544</v>
      </c>
      <c r="AL35" s="47"/>
      <c r="AM35" s="47">
        <f t="shared" si="3"/>
        <v>4.0060000000000002</v>
      </c>
      <c r="AN35" s="47">
        <f t="shared" si="4"/>
        <v>3.7704</v>
      </c>
      <c r="AO35" s="47">
        <f t="shared" si="25"/>
        <v>37704</v>
      </c>
      <c r="AP35" s="47">
        <f t="shared" si="5"/>
        <v>0.2356</v>
      </c>
      <c r="AQ35" s="47">
        <f t="shared" si="26"/>
        <v>2356</v>
      </c>
      <c r="AR35" s="47"/>
      <c r="AS35" s="47">
        <f t="shared" si="27"/>
        <v>0.36370000000000002</v>
      </c>
      <c r="AT35" s="47">
        <f t="shared" si="6"/>
        <v>0.2828</v>
      </c>
      <c r="AU35" s="47">
        <f t="shared" si="28"/>
        <v>2828</v>
      </c>
      <c r="AV35" s="47">
        <f t="shared" si="7"/>
        <v>8.1000000000000003E-2</v>
      </c>
      <c r="AW35" s="47">
        <f t="shared" si="29"/>
        <v>810</v>
      </c>
      <c r="AX35" s="47">
        <f t="shared" si="8"/>
        <v>7.4657999999999998</v>
      </c>
      <c r="AY35" s="47"/>
      <c r="AZ35" s="47">
        <v>29</v>
      </c>
      <c r="BA35" s="54">
        <v>1E-4</v>
      </c>
      <c r="BB35" s="55" t="s">
        <v>162</v>
      </c>
      <c r="BC35" s="51">
        <f t="shared" si="30"/>
        <v>51.379999999999995</v>
      </c>
      <c r="BD35" s="47">
        <f t="shared" si="33"/>
        <v>9.1199999999999992</v>
      </c>
      <c r="BE35" s="47">
        <f t="shared" si="31"/>
        <v>4.26</v>
      </c>
      <c r="BF35" s="47">
        <v>3550</v>
      </c>
      <c r="BG35" s="56">
        <v>38</v>
      </c>
      <c r="BH35" s="47"/>
      <c r="BI35" s="51">
        <f t="shared" si="10"/>
        <v>0</v>
      </c>
      <c r="BJ35" s="51">
        <f t="shared" si="11"/>
        <v>0</v>
      </c>
      <c r="BK35" s="47"/>
      <c r="BL35" s="47"/>
      <c r="BM35" s="47"/>
      <c r="BN35" s="47"/>
      <c r="BO35" s="47"/>
      <c r="BP35" s="47"/>
      <c r="BQ35" s="47"/>
      <c r="BR35" s="47"/>
      <c r="BS35" s="53"/>
      <c r="BT35" s="47"/>
      <c r="BU35" s="47"/>
      <c r="BV35" s="47"/>
      <c r="BW35" s="47"/>
      <c r="BX35" s="47">
        <v>54.58</v>
      </c>
      <c r="BY35" s="47"/>
      <c r="BZ35" s="47"/>
      <c r="CA35" s="47"/>
      <c r="CB35" s="54">
        <f t="shared" si="12"/>
        <v>218.9649</v>
      </c>
      <c r="CC35" s="47"/>
      <c r="CD35" s="57"/>
      <c r="CE35" s="47"/>
      <c r="CF35" s="47">
        <f t="shared" si="13"/>
        <v>218.9649</v>
      </c>
    </row>
    <row r="36" spans="1:84" ht="14.25" customHeight="1">
      <c r="A36" s="47">
        <v>29</v>
      </c>
      <c r="B36" s="47" t="s">
        <v>129</v>
      </c>
      <c r="C36" s="48">
        <v>101002</v>
      </c>
      <c r="D36" s="49" t="s">
        <v>163</v>
      </c>
      <c r="E36" s="49" t="s">
        <v>150</v>
      </c>
      <c r="F36" s="50">
        <f t="shared" si="14"/>
        <v>14</v>
      </c>
      <c r="G36" s="50"/>
      <c r="H36" s="50"/>
      <c r="I36" s="50">
        <v>14</v>
      </c>
      <c r="J36" s="50"/>
      <c r="K36" s="50"/>
      <c r="L36" s="50"/>
      <c r="M36" s="50"/>
      <c r="N36" s="50"/>
      <c r="O36" s="50">
        <f t="shared" si="15"/>
        <v>14</v>
      </c>
      <c r="P36" s="51">
        <f t="shared" si="0"/>
        <v>199.53609999999998</v>
      </c>
      <c r="Q36" s="51">
        <f t="shared" si="1"/>
        <v>140.09609999999998</v>
      </c>
      <c r="R36" s="47">
        <f t="shared" si="16"/>
        <v>38900</v>
      </c>
      <c r="S36" s="58"/>
      <c r="T36" s="51">
        <v>38900</v>
      </c>
      <c r="U36" s="47">
        <f t="shared" si="17"/>
        <v>46.68</v>
      </c>
      <c r="V36" s="51">
        <f t="shared" si="2"/>
        <v>0</v>
      </c>
      <c r="W36" s="47">
        <f t="shared" si="18"/>
        <v>0</v>
      </c>
      <c r="X36" s="47"/>
      <c r="Y36" s="47"/>
      <c r="Z36" s="47"/>
      <c r="AA36" s="47"/>
      <c r="AB36" s="51">
        <f t="shared" si="19"/>
        <v>20.16</v>
      </c>
      <c r="AC36" s="47">
        <f t="shared" si="20"/>
        <v>0</v>
      </c>
      <c r="AD36" s="47"/>
      <c r="AE36" s="47"/>
      <c r="AF36" s="47">
        <f t="shared" si="21"/>
        <v>20.16</v>
      </c>
      <c r="AG36" s="47">
        <v>16800</v>
      </c>
      <c r="AH36" s="47"/>
      <c r="AI36" s="47">
        <f t="shared" si="22"/>
        <v>36.26</v>
      </c>
      <c r="AJ36" s="53">
        <f t="shared" si="23"/>
        <v>16.495999999999999</v>
      </c>
      <c r="AK36" s="53">
        <f t="shared" si="24"/>
        <v>164960</v>
      </c>
      <c r="AL36" s="47"/>
      <c r="AM36" s="47">
        <f t="shared" si="3"/>
        <v>7.0499000000000001</v>
      </c>
      <c r="AN36" s="47">
        <f t="shared" si="4"/>
        <v>6.6352000000000002</v>
      </c>
      <c r="AO36" s="47">
        <f t="shared" si="25"/>
        <v>66352</v>
      </c>
      <c r="AP36" s="47">
        <f t="shared" si="5"/>
        <v>0.41470000000000001</v>
      </c>
      <c r="AQ36" s="47">
        <f t="shared" si="26"/>
        <v>4147</v>
      </c>
      <c r="AR36" s="47"/>
      <c r="AS36" s="47">
        <f t="shared" si="27"/>
        <v>1.0782</v>
      </c>
      <c r="AT36" s="47">
        <f t="shared" si="6"/>
        <v>0.49759999999999999</v>
      </c>
      <c r="AU36" s="47">
        <f t="shared" si="28"/>
        <v>4976</v>
      </c>
      <c r="AV36" s="47">
        <f t="shared" si="7"/>
        <v>0.5806</v>
      </c>
      <c r="AW36" s="47">
        <f t="shared" si="29"/>
        <v>5806</v>
      </c>
      <c r="AX36" s="47">
        <f t="shared" si="8"/>
        <v>12.372</v>
      </c>
      <c r="AY36" s="47"/>
      <c r="AZ36" s="47"/>
      <c r="BA36" s="54">
        <v>1E-4</v>
      </c>
      <c r="BB36" s="55" t="s">
        <v>163</v>
      </c>
      <c r="BC36" s="51">
        <f t="shared" si="30"/>
        <v>59.44</v>
      </c>
      <c r="BD36" s="47">
        <f t="shared" si="33"/>
        <v>13.44</v>
      </c>
      <c r="BE36" s="47">
        <f t="shared" si="31"/>
        <v>0</v>
      </c>
      <c r="BF36" s="47"/>
      <c r="BG36" s="56">
        <v>46</v>
      </c>
      <c r="BH36" s="47"/>
      <c r="BI36" s="51">
        <f t="shared" si="10"/>
        <v>0</v>
      </c>
      <c r="BJ36" s="51">
        <f t="shared" si="11"/>
        <v>0</v>
      </c>
      <c r="BK36" s="47"/>
      <c r="BL36" s="47"/>
      <c r="BM36" s="47"/>
      <c r="BN36" s="47"/>
      <c r="BO36" s="47"/>
      <c r="BP36" s="47"/>
      <c r="BQ36" s="47"/>
      <c r="BR36" s="47"/>
      <c r="BS36" s="53"/>
      <c r="BT36" s="47"/>
      <c r="BU36" s="47"/>
      <c r="BV36" s="47"/>
      <c r="BW36" s="47"/>
      <c r="BX36" s="47"/>
      <c r="BY36" s="47"/>
      <c r="BZ36" s="47"/>
      <c r="CA36" s="47"/>
      <c r="CB36" s="54">
        <f t="shared" si="12"/>
        <v>199.53609999999998</v>
      </c>
      <c r="CC36" s="47"/>
      <c r="CD36" s="57"/>
      <c r="CE36" s="47"/>
      <c r="CF36" s="47">
        <f t="shared" si="13"/>
        <v>199.53609999999998</v>
      </c>
    </row>
    <row r="37" spans="1:84" ht="14.25" customHeight="1">
      <c r="A37" s="47">
        <v>30</v>
      </c>
      <c r="B37" s="47" t="s">
        <v>129</v>
      </c>
      <c r="C37" s="48">
        <v>128001</v>
      </c>
      <c r="D37" s="49" t="s">
        <v>164</v>
      </c>
      <c r="E37" s="49" t="s">
        <v>150</v>
      </c>
      <c r="F37" s="50">
        <f t="shared" si="14"/>
        <v>7</v>
      </c>
      <c r="G37" s="50"/>
      <c r="H37" s="50"/>
      <c r="I37" s="50">
        <v>7</v>
      </c>
      <c r="J37" s="50"/>
      <c r="K37" s="50"/>
      <c r="L37" s="50"/>
      <c r="M37" s="50"/>
      <c r="N37" s="50"/>
      <c r="O37" s="50">
        <f t="shared" si="15"/>
        <v>7</v>
      </c>
      <c r="P37" s="51">
        <f t="shared" si="0"/>
        <v>103.05249999999999</v>
      </c>
      <c r="Q37" s="51">
        <f t="shared" si="1"/>
        <v>70.332499999999996</v>
      </c>
      <c r="R37" s="47">
        <f t="shared" si="16"/>
        <v>19622</v>
      </c>
      <c r="S37" s="58"/>
      <c r="T37" s="51">
        <v>19622</v>
      </c>
      <c r="U37" s="47">
        <f t="shared" si="17"/>
        <v>23.546399999999998</v>
      </c>
      <c r="V37" s="51">
        <f t="shared" si="2"/>
        <v>0</v>
      </c>
      <c r="W37" s="47">
        <f t="shared" si="18"/>
        <v>0</v>
      </c>
      <c r="X37" s="47"/>
      <c r="Y37" s="47"/>
      <c r="Z37" s="47"/>
      <c r="AA37" s="47"/>
      <c r="AB37" s="51">
        <f t="shared" si="19"/>
        <v>10.08</v>
      </c>
      <c r="AC37" s="47">
        <f t="shared" si="20"/>
        <v>0</v>
      </c>
      <c r="AD37" s="47"/>
      <c r="AE37" s="47"/>
      <c r="AF37" s="47">
        <f t="shared" si="21"/>
        <v>10.08</v>
      </c>
      <c r="AG37" s="47">
        <v>8400</v>
      </c>
      <c r="AH37" s="47"/>
      <c r="AI37" s="47">
        <f t="shared" si="22"/>
        <v>18.13</v>
      </c>
      <c r="AJ37" s="53">
        <f t="shared" si="23"/>
        <v>8.2810000000000006</v>
      </c>
      <c r="AK37" s="53">
        <f t="shared" si="24"/>
        <v>82810</v>
      </c>
      <c r="AL37" s="47"/>
      <c r="AM37" s="47">
        <f t="shared" si="3"/>
        <v>3.5425</v>
      </c>
      <c r="AN37" s="47">
        <f t="shared" si="4"/>
        <v>3.3340999999999998</v>
      </c>
      <c r="AO37" s="47">
        <f t="shared" si="25"/>
        <v>33341</v>
      </c>
      <c r="AP37" s="47">
        <f t="shared" si="5"/>
        <v>0.2084</v>
      </c>
      <c r="AQ37" s="47">
        <f t="shared" si="26"/>
        <v>2084</v>
      </c>
      <c r="AR37" s="47"/>
      <c r="AS37" s="47">
        <f t="shared" si="27"/>
        <v>0.54179999999999995</v>
      </c>
      <c r="AT37" s="47">
        <f t="shared" si="6"/>
        <v>0.25009999999999999</v>
      </c>
      <c r="AU37" s="47">
        <f t="shared" si="28"/>
        <v>2501</v>
      </c>
      <c r="AV37" s="47">
        <f t="shared" si="7"/>
        <v>0.29170000000000001</v>
      </c>
      <c r="AW37" s="47">
        <f t="shared" si="29"/>
        <v>2917</v>
      </c>
      <c r="AX37" s="47">
        <f t="shared" si="8"/>
        <v>6.2107999999999999</v>
      </c>
      <c r="AY37" s="47"/>
      <c r="AZ37" s="47"/>
      <c r="BA37" s="54">
        <v>1E-4</v>
      </c>
      <c r="BB37" s="55" t="s">
        <v>164</v>
      </c>
      <c r="BC37" s="51">
        <f t="shared" si="30"/>
        <v>32.72</v>
      </c>
      <c r="BD37" s="47">
        <f t="shared" si="33"/>
        <v>6.72</v>
      </c>
      <c r="BE37" s="47">
        <f t="shared" si="31"/>
        <v>0</v>
      </c>
      <c r="BF37" s="47"/>
      <c r="BG37" s="56">
        <v>26</v>
      </c>
      <c r="BH37" s="47"/>
      <c r="BI37" s="51">
        <f t="shared" si="10"/>
        <v>0</v>
      </c>
      <c r="BJ37" s="51">
        <f t="shared" si="11"/>
        <v>0</v>
      </c>
      <c r="BK37" s="47"/>
      <c r="BL37" s="47"/>
      <c r="BM37" s="47"/>
      <c r="BN37" s="47"/>
      <c r="BO37" s="47"/>
      <c r="BP37" s="47"/>
      <c r="BQ37" s="47"/>
      <c r="BR37" s="47"/>
      <c r="BS37" s="53"/>
      <c r="BT37" s="47"/>
      <c r="BU37" s="47"/>
      <c r="BV37" s="47"/>
      <c r="BW37" s="47"/>
      <c r="BX37" s="47"/>
      <c r="BY37" s="47"/>
      <c r="BZ37" s="47"/>
      <c r="CA37" s="47"/>
      <c r="CB37" s="54">
        <f t="shared" si="12"/>
        <v>103.05249999999999</v>
      </c>
      <c r="CC37" s="47"/>
      <c r="CD37" s="57"/>
      <c r="CE37" s="47"/>
      <c r="CF37" s="47">
        <f t="shared" si="13"/>
        <v>103.05249999999999</v>
      </c>
    </row>
    <row r="38" spans="1:84" ht="14.25" customHeight="1">
      <c r="A38" s="47">
        <v>31</v>
      </c>
      <c r="B38" s="47" t="s">
        <v>129</v>
      </c>
      <c r="C38" s="48">
        <v>808001</v>
      </c>
      <c r="D38" s="49" t="s">
        <v>165</v>
      </c>
      <c r="E38" s="49" t="s">
        <v>131</v>
      </c>
      <c r="F38" s="50">
        <f t="shared" si="14"/>
        <v>122</v>
      </c>
      <c r="G38" s="50">
        <v>38</v>
      </c>
      <c r="H38" s="50"/>
      <c r="I38" s="50">
        <v>84</v>
      </c>
      <c r="J38" s="50"/>
      <c r="K38" s="50"/>
      <c r="L38" s="50"/>
      <c r="M38" s="50"/>
      <c r="N38" s="50">
        <v>1</v>
      </c>
      <c r="O38" s="50">
        <f t="shared" si="15"/>
        <v>123</v>
      </c>
      <c r="P38" s="51">
        <f t="shared" si="0"/>
        <v>1866.9067999999997</v>
      </c>
      <c r="Q38" s="51">
        <f t="shared" si="1"/>
        <v>1454.3587999999997</v>
      </c>
      <c r="R38" s="47">
        <f t="shared" si="16"/>
        <v>354671</v>
      </c>
      <c r="S38" s="58">
        <v>132812</v>
      </c>
      <c r="T38" s="51">
        <v>221859</v>
      </c>
      <c r="U38" s="47">
        <f t="shared" si="17"/>
        <v>425.60520000000002</v>
      </c>
      <c r="V38" s="51">
        <f t="shared" si="2"/>
        <v>85.5</v>
      </c>
      <c r="W38" s="47">
        <f t="shared" si="18"/>
        <v>85.5</v>
      </c>
      <c r="X38" s="47"/>
      <c r="Y38" s="47"/>
      <c r="Z38" s="47"/>
      <c r="AA38" s="47"/>
      <c r="AB38" s="51">
        <f t="shared" si="19"/>
        <v>196.8476</v>
      </c>
      <c r="AC38" s="47">
        <f t="shared" si="20"/>
        <v>13.2812</v>
      </c>
      <c r="AD38" s="47"/>
      <c r="AE38" s="47"/>
      <c r="AF38" s="47">
        <f t="shared" si="21"/>
        <v>183.56639999999999</v>
      </c>
      <c r="AG38" s="47">
        <v>152972</v>
      </c>
      <c r="AH38" s="47"/>
      <c r="AI38" s="47">
        <f t="shared" si="22"/>
        <v>217.56</v>
      </c>
      <c r="AJ38" s="53">
        <f t="shared" si="23"/>
        <v>148.08199999999999</v>
      </c>
      <c r="AK38" s="53">
        <f t="shared" si="24"/>
        <v>1480820</v>
      </c>
      <c r="AL38" s="47"/>
      <c r="AM38" s="47">
        <f t="shared" si="3"/>
        <v>61.944000000000003</v>
      </c>
      <c r="AN38" s="47">
        <f t="shared" si="4"/>
        <v>58.300699999999999</v>
      </c>
      <c r="AO38" s="47">
        <f t="shared" si="25"/>
        <v>583007</v>
      </c>
      <c r="AP38" s="47">
        <f t="shared" si="5"/>
        <v>3.6433</v>
      </c>
      <c r="AQ38" s="47">
        <f t="shared" si="26"/>
        <v>36433</v>
      </c>
      <c r="AR38" s="47"/>
      <c r="AS38" s="47">
        <f t="shared" si="27"/>
        <v>7.7584999999999997</v>
      </c>
      <c r="AT38" s="47">
        <f t="shared" si="6"/>
        <v>4.3719999999999999</v>
      </c>
      <c r="AU38" s="47">
        <f t="shared" si="28"/>
        <v>43720</v>
      </c>
      <c r="AV38" s="47">
        <f t="shared" si="7"/>
        <v>3.3864999999999998</v>
      </c>
      <c r="AW38" s="47">
        <f t="shared" si="29"/>
        <v>33865</v>
      </c>
      <c r="AX38" s="47">
        <f t="shared" si="8"/>
        <v>111.0615</v>
      </c>
      <c r="AY38" s="47"/>
      <c r="AZ38" s="47">
        <v>200</v>
      </c>
      <c r="BA38" s="54">
        <v>1E-4</v>
      </c>
      <c r="BB38" s="55" t="s">
        <v>165</v>
      </c>
      <c r="BC38" s="51">
        <f t="shared" si="30"/>
        <v>412.548</v>
      </c>
      <c r="BD38" s="47">
        <f t="shared" si="33"/>
        <v>126.24000000000001</v>
      </c>
      <c r="BE38" s="47">
        <f t="shared" si="31"/>
        <v>26.808</v>
      </c>
      <c r="BF38" s="47">
        <v>22340</v>
      </c>
      <c r="BG38" s="56">
        <v>177</v>
      </c>
      <c r="BH38" s="47">
        <v>82.5</v>
      </c>
      <c r="BI38" s="51">
        <f t="shared" si="10"/>
        <v>0</v>
      </c>
      <c r="BJ38" s="51">
        <f t="shared" si="11"/>
        <v>0</v>
      </c>
      <c r="BK38" s="47"/>
      <c r="BL38" s="47"/>
      <c r="BM38" s="47"/>
      <c r="BN38" s="47"/>
      <c r="BO38" s="47"/>
      <c r="BP38" s="47"/>
      <c r="BQ38" s="47"/>
      <c r="BR38" s="47"/>
      <c r="BS38" s="53"/>
      <c r="BT38" s="47"/>
      <c r="BU38" s="47"/>
      <c r="BV38" s="47"/>
      <c r="BW38" s="47"/>
      <c r="BX38" s="47"/>
      <c r="BY38" s="47"/>
      <c r="BZ38" s="47"/>
      <c r="CA38" s="47"/>
      <c r="CB38" s="54">
        <f t="shared" si="12"/>
        <v>1866.9067999999997</v>
      </c>
      <c r="CC38" s="47"/>
      <c r="CD38" s="57"/>
      <c r="CE38" s="47"/>
      <c r="CF38" s="47">
        <f t="shared" si="13"/>
        <v>1866.9067999999997</v>
      </c>
    </row>
    <row r="39" spans="1:84" ht="14.25" customHeight="1">
      <c r="A39" s="47">
        <v>32</v>
      </c>
      <c r="B39" s="47" t="s">
        <v>129</v>
      </c>
      <c r="C39" s="48">
        <v>808002</v>
      </c>
      <c r="D39" s="49" t="s">
        <v>166</v>
      </c>
      <c r="E39" s="49" t="s">
        <v>150</v>
      </c>
      <c r="F39" s="50">
        <f t="shared" si="14"/>
        <v>82</v>
      </c>
      <c r="G39" s="50"/>
      <c r="H39" s="50"/>
      <c r="I39" s="50">
        <v>82</v>
      </c>
      <c r="J39" s="50"/>
      <c r="K39" s="50"/>
      <c r="L39" s="50"/>
      <c r="M39" s="50"/>
      <c r="N39" s="50">
        <v>61</v>
      </c>
      <c r="O39" s="50">
        <f t="shared" si="15"/>
        <v>143</v>
      </c>
      <c r="P39" s="51">
        <f t="shared" si="0"/>
        <v>1211.4839999999999</v>
      </c>
      <c r="Q39" s="51">
        <f t="shared" si="1"/>
        <v>930.10799999999995</v>
      </c>
      <c r="R39" s="47">
        <f t="shared" si="16"/>
        <v>283473</v>
      </c>
      <c r="S39" s="58"/>
      <c r="T39" s="51">
        <v>283473</v>
      </c>
      <c r="U39" s="47">
        <f t="shared" si="17"/>
        <v>340.16759999999999</v>
      </c>
      <c r="V39" s="51">
        <f t="shared" si="2"/>
        <v>30</v>
      </c>
      <c r="W39" s="47">
        <f t="shared" si="18"/>
        <v>0</v>
      </c>
      <c r="X39" s="47"/>
      <c r="Y39" s="47"/>
      <c r="Z39" s="47"/>
      <c r="AA39" s="47">
        <v>30</v>
      </c>
      <c r="AB39" s="51">
        <f t="shared" si="19"/>
        <v>108</v>
      </c>
      <c r="AC39" s="47">
        <f t="shared" si="20"/>
        <v>0</v>
      </c>
      <c r="AD39" s="47"/>
      <c r="AE39" s="47"/>
      <c r="AF39" s="47">
        <f t="shared" si="21"/>
        <v>108</v>
      </c>
      <c r="AG39" s="47">
        <v>90000</v>
      </c>
      <c r="AH39" s="47"/>
      <c r="AI39" s="47">
        <f t="shared" si="22"/>
        <v>212.38</v>
      </c>
      <c r="AJ39" s="53">
        <f t="shared" si="23"/>
        <v>105.6876</v>
      </c>
      <c r="AK39" s="53">
        <f t="shared" si="24"/>
        <v>1056876</v>
      </c>
      <c r="AL39" s="47"/>
      <c r="AM39" s="47">
        <f t="shared" si="3"/>
        <v>47.423999999999999</v>
      </c>
      <c r="AN39" s="47">
        <f t="shared" si="4"/>
        <v>44.661299999999997</v>
      </c>
      <c r="AO39" s="47">
        <f t="shared" si="25"/>
        <v>446613</v>
      </c>
      <c r="AP39" s="47">
        <f t="shared" si="5"/>
        <v>2.7627000000000002</v>
      </c>
      <c r="AQ39" s="47">
        <f t="shared" si="26"/>
        <v>27627</v>
      </c>
      <c r="AR39" s="47"/>
      <c r="AS39" s="47">
        <f t="shared" si="27"/>
        <v>7.1830999999999996</v>
      </c>
      <c r="AT39" s="47">
        <f t="shared" si="6"/>
        <v>3.3153000000000001</v>
      </c>
      <c r="AU39" s="47">
        <f t="shared" si="28"/>
        <v>33153</v>
      </c>
      <c r="AV39" s="47">
        <f t="shared" si="7"/>
        <v>3.8677999999999999</v>
      </c>
      <c r="AW39" s="47">
        <f t="shared" si="29"/>
        <v>38678</v>
      </c>
      <c r="AX39" s="47">
        <f t="shared" si="8"/>
        <v>79.265699999999995</v>
      </c>
      <c r="AY39" s="47"/>
      <c r="AZ39" s="47"/>
      <c r="BA39" s="54">
        <v>1E-4</v>
      </c>
      <c r="BB39" s="55" t="s">
        <v>166</v>
      </c>
      <c r="BC39" s="51">
        <f t="shared" si="30"/>
        <v>264.72000000000003</v>
      </c>
      <c r="BD39" s="47">
        <f t="shared" si="33"/>
        <v>78.72</v>
      </c>
      <c r="BE39" s="47">
        <f t="shared" si="31"/>
        <v>0</v>
      </c>
      <c r="BF39" s="47"/>
      <c r="BG39" s="56">
        <v>186</v>
      </c>
      <c r="BH39" s="47"/>
      <c r="BI39" s="51">
        <f t="shared" si="10"/>
        <v>16.655999999999999</v>
      </c>
      <c r="BJ39" s="51">
        <f t="shared" si="11"/>
        <v>0</v>
      </c>
      <c r="BK39" s="47"/>
      <c r="BL39" s="47"/>
      <c r="BM39" s="47"/>
      <c r="BN39" s="47"/>
      <c r="BO39" s="47"/>
      <c r="BP39" s="47">
        <v>1.6559999999999999</v>
      </c>
      <c r="BQ39" s="47"/>
      <c r="BR39" s="47"/>
      <c r="BS39" s="53"/>
      <c r="BT39" s="47"/>
      <c r="BU39" s="47"/>
      <c r="BV39" s="47"/>
      <c r="BW39" s="47">
        <v>15</v>
      </c>
      <c r="BX39" s="47">
        <v>801.7</v>
      </c>
      <c r="BY39" s="47"/>
      <c r="BZ39" s="47"/>
      <c r="CA39" s="47"/>
      <c r="CB39" s="54">
        <f t="shared" si="12"/>
        <v>2013.184</v>
      </c>
      <c r="CC39" s="47"/>
      <c r="CD39" s="57"/>
      <c r="CE39" s="47"/>
      <c r="CF39" s="47">
        <f t="shared" si="13"/>
        <v>2013.184</v>
      </c>
    </row>
    <row r="40" spans="1:84" ht="14.25" customHeight="1">
      <c r="A40" s="47">
        <v>33</v>
      </c>
      <c r="B40" s="47" t="s">
        <v>129</v>
      </c>
      <c r="C40" s="48">
        <v>813001</v>
      </c>
      <c r="D40" s="49" t="s">
        <v>167</v>
      </c>
      <c r="E40" s="49" t="s">
        <v>131</v>
      </c>
      <c r="F40" s="50">
        <f t="shared" si="14"/>
        <v>55</v>
      </c>
      <c r="G40" s="50">
        <v>41</v>
      </c>
      <c r="H40" s="50">
        <v>5</v>
      </c>
      <c r="I40" s="50">
        <v>3</v>
      </c>
      <c r="J40" s="50">
        <v>6</v>
      </c>
      <c r="K40" s="50"/>
      <c r="L40" s="50"/>
      <c r="M40" s="50"/>
      <c r="N40" s="50">
        <v>61</v>
      </c>
      <c r="O40" s="50">
        <f t="shared" si="15"/>
        <v>116</v>
      </c>
      <c r="P40" s="51">
        <f t="shared" si="0"/>
        <v>875.47789999999998</v>
      </c>
      <c r="Q40" s="51">
        <f t="shared" si="1"/>
        <v>625.43389999999999</v>
      </c>
      <c r="R40" s="47">
        <f t="shared" si="16"/>
        <v>189866</v>
      </c>
      <c r="S40" s="58">
        <v>166211</v>
      </c>
      <c r="T40" s="51">
        <v>23655</v>
      </c>
      <c r="U40" s="47">
        <f t="shared" si="17"/>
        <v>227.83920000000001</v>
      </c>
      <c r="V40" s="51">
        <f t="shared" si="2"/>
        <v>103.5</v>
      </c>
      <c r="W40" s="47">
        <f t="shared" si="18"/>
        <v>103.5</v>
      </c>
      <c r="X40" s="47"/>
      <c r="Y40" s="47"/>
      <c r="Z40" s="47"/>
      <c r="AA40" s="47"/>
      <c r="AB40" s="51">
        <f t="shared" si="19"/>
        <v>108.11749999999999</v>
      </c>
      <c r="AC40" s="47">
        <f t="shared" si="20"/>
        <v>16.621099999999998</v>
      </c>
      <c r="AD40" s="47"/>
      <c r="AE40" s="47"/>
      <c r="AF40" s="47">
        <f t="shared" si="21"/>
        <v>91.496399999999994</v>
      </c>
      <c r="AG40" s="47">
        <v>76247</v>
      </c>
      <c r="AH40" s="47"/>
      <c r="AI40" s="47">
        <f t="shared" si="22"/>
        <v>23.31</v>
      </c>
      <c r="AJ40" s="53">
        <f t="shared" si="23"/>
        <v>74.042699999999996</v>
      </c>
      <c r="AK40" s="53">
        <f t="shared" si="24"/>
        <v>740427</v>
      </c>
      <c r="AL40" s="47"/>
      <c r="AM40" s="47">
        <f t="shared" si="3"/>
        <v>30.602699999999999</v>
      </c>
      <c r="AN40" s="47">
        <f t="shared" si="4"/>
        <v>28.8294</v>
      </c>
      <c r="AO40" s="47">
        <f t="shared" si="25"/>
        <v>288294</v>
      </c>
      <c r="AP40" s="47">
        <f t="shared" si="5"/>
        <v>1.7732000000000001</v>
      </c>
      <c r="AQ40" s="47">
        <f t="shared" si="26"/>
        <v>17732</v>
      </c>
      <c r="AR40" s="47"/>
      <c r="AS40" s="47">
        <f t="shared" si="27"/>
        <v>2.4897999999999998</v>
      </c>
      <c r="AT40" s="47">
        <f t="shared" si="6"/>
        <v>2.1278999999999999</v>
      </c>
      <c r="AU40" s="47">
        <f t="shared" si="28"/>
        <v>21279</v>
      </c>
      <c r="AV40" s="47">
        <f t="shared" si="7"/>
        <v>0.3619</v>
      </c>
      <c r="AW40" s="47">
        <f t="shared" si="29"/>
        <v>3619</v>
      </c>
      <c r="AX40" s="47">
        <f t="shared" si="8"/>
        <v>55.531999999999996</v>
      </c>
      <c r="AY40" s="47"/>
      <c r="AZ40" s="47"/>
      <c r="BA40" s="54">
        <v>1E-4</v>
      </c>
      <c r="BB40" s="55" t="s">
        <v>167</v>
      </c>
      <c r="BC40" s="51">
        <f t="shared" si="30"/>
        <v>241.76400000000001</v>
      </c>
      <c r="BD40" s="47">
        <f t="shared" si="33"/>
        <v>63.839999999999996</v>
      </c>
      <c r="BE40" s="47">
        <f t="shared" si="31"/>
        <v>33.923999999999999</v>
      </c>
      <c r="BF40" s="47">
        <v>28270</v>
      </c>
      <c r="BG40" s="56">
        <f>16+128</f>
        <v>144</v>
      </c>
      <c r="BH40" s="47"/>
      <c r="BI40" s="51">
        <f t="shared" si="10"/>
        <v>8.2799999999999994</v>
      </c>
      <c r="BJ40" s="51">
        <f t="shared" si="11"/>
        <v>0</v>
      </c>
      <c r="BK40" s="47"/>
      <c r="BL40" s="47"/>
      <c r="BM40" s="47"/>
      <c r="BN40" s="47"/>
      <c r="BO40" s="47"/>
      <c r="BP40" s="47">
        <v>8.2799999999999994</v>
      </c>
      <c r="BQ40" s="47"/>
      <c r="BR40" s="47"/>
      <c r="BS40" s="53"/>
      <c r="BT40" s="47"/>
      <c r="BU40" s="47"/>
      <c r="BV40" s="47"/>
      <c r="BW40" s="47"/>
      <c r="BX40" s="47">
        <v>312</v>
      </c>
      <c r="BY40" s="47"/>
      <c r="BZ40" s="47"/>
      <c r="CA40" s="47"/>
      <c r="CB40" s="54">
        <f t="shared" ref="CB40:CB71" si="34">P40+BX40+BZ40+BY40+CA40</f>
        <v>1187.4778999999999</v>
      </c>
      <c r="CC40" s="47"/>
      <c r="CD40" s="57"/>
      <c r="CE40" s="47"/>
      <c r="CF40" s="47">
        <f t="shared" si="13"/>
        <v>1187.4778999999999</v>
      </c>
    </row>
    <row r="41" spans="1:84" ht="14.25" customHeight="1">
      <c r="A41" s="47">
        <v>34</v>
      </c>
      <c r="B41" s="47" t="s">
        <v>129</v>
      </c>
      <c r="C41" s="48">
        <v>803001</v>
      </c>
      <c r="D41" s="49" t="s">
        <v>168</v>
      </c>
      <c r="E41" s="49" t="s">
        <v>131</v>
      </c>
      <c r="F41" s="50">
        <f t="shared" si="14"/>
        <v>45</v>
      </c>
      <c r="G41" s="50">
        <v>25</v>
      </c>
      <c r="H41" s="50"/>
      <c r="I41" s="50">
        <v>20</v>
      </c>
      <c r="J41" s="50"/>
      <c r="K41" s="50"/>
      <c r="L41" s="50"/>
      <c r="M41" s="50"/>
      <c r="N41" s="50">
        <v>25</v>
      </c>
      <c r="O41" s="50">
        <f t="shared" si="15"/>
        <v>70</v>
      </c>
      <c r="P41" s="51">
        <f t="shared" si="0"/>
        <v>801.30420000000004</v>
      </c>
      <c r="Q41" s="51">
        <f t="shared" si="1"/>
        <v>538.09460000000001</v>
      </c>
      <c r="R41" s="47">
        <f t="shared" si="16"/>
        <v>170284</v>
      </c>
      <c r="S41" s="58">
        <v>106729</v>
      </c>
      <c r="T41" s="51">
        <v>63555</v>
      </c>
      <c r="U41" s="47">
        <f t="shared" si="17"/>
        <v>204.3408</v>
      </c>
      <c r="V41" s="51">
        <f t="shared" si="2"/>
        <v>56.25</v>
      </c>
      <c r="W41" s="47">
        <f t="shared" si="18"/>
        <v>56.25</v>
      </c>
      <c r="X41" s="47"/>
      <c r="Y41" s="47"/>
      <c r="Z41" s="47"/>
      <c r="AA41" s="47"/>
      <c r="AB41" s="51">
        <f t="shared" si="19"/>
        <v>84.939700000000002</v>
      </c>
      <c r="AC41" s="47">
        <f t="shared" si="20"/>
        <v>10.6729</v>
      </c>
      <c r="AD41" s="47"/>
      <c r="AE41" s="47"/>
      <c r="AF41" s="47">
        <f t="shared" si="21"/>
        <v>74.266800000000003</v>
      </c>
      <c r="AG41" s="47">
        <v>61889</v>
      </c>
      <c r="AH41" s="47"/>
      <c r="AI41" s="47">
        <f t="shared" si="22"/>
        <v>51.8</v>
      </c>
      <c r="AJ41" s="53">
        <f t="shared" si="23"/>
        <v>63.572899999999997</v>
      </c>
      <c r="AK41" s="53">
        <f t="shared" si="24"/>
        <v>635729</v>
      </c>
      <c r="AL41" s="47"/>
      <c r="AM41" s="47">
        <f t="shared" si="3"/>
        <v>26.7407</v>
      </c>
      <c r="AN41" s="47">
        <f t="shared" si="4"/>
        <v>25.178799999999999</v>
      </c>
      <c r="AO41" s="47">
        <f t="shared" si="25"/>
        <v>251788</v>
      </c>
      <c r="AP41" s="47">
        <f t="shared" si="5"/>
        <v>1.5620000000000001</v>
      </c>
      <c r="AQ41" s="47">
        <f t="shared" si="26"/>
        <v>15620</v>
      </c>
      <c r="AR41" s="47"/>
      <c r="AS41" s="47">
        <f t="shared" si="27"/>
        <v>2.7707999999999999</v>
      </c>
      <c r="AT41" s="47">
        <f t="shared" si="6"/>
        <v>1.8743000000000001</v>
      </c>
      <c r="AU41" s="47">
        <f t="shared" si="28"/>
        <v>18743</v>
      </c>
      <c r="AV41" s="47">
        <f t="shared" si="7"/>
        <v>0.89649999999999996</v>
      </c>
      <c r="AW41" s="47">
        <f t="shared" si="29"/>
        <v>8965</v>
      </c>
      <c r="AX41" s="47">
        <f t="shared" si="8"/>
        <v>47.679699999999997</v>
      </c>
      <c r="AY41" s="47"/>
      <c r="AZ41" s="47"/>
      <c r="BA41" s="54">
        <v>1E-4</v>
      </c>
      <c r="BB41" s="55" t="s">
        <v>168</v>
      </c>
      <c r="BC41" s="51">
        <f t="shared" si="30"/>
        <v>260.36799999999999</v>
      </c>
      <c r="BD41" s="47">
        <f t="shared" si="33"/>
        <v>49.2</v>
      </c>
      <c r="BE41" s="47">
        <f t="shared" si="31"/>
        <v>21.167999999999999</v>
      </c>
      <c r="BF41" s="47">
        <v>17640</v>
      </c>
      <c r="BG41" s="56">
        <v>97</v>
      </c>
      <c r="BH41" s="47">
        <v>93</v>
      </c>
      <c r="BI41" s="51">
        <f t="shared" si="10"/>
        <v>2.8416000000000001</v>
      </c>
      <c r="BJ41" s="51">
        <f t="shared" si="11"/>
        <v>0</v>
      </c>
      <c r="BK41" s="47"/>
      <c r="BL41" s="47"/>
      <c r="BM41" s="47"/>
      <c r="BN41" s="47"/>
      <c r="BO41" s="47"/>
      <c r="BP41" s="47">
        <v>2.8416000000000001</v>
      </c>
      <c r="BQ41" s="47"/>
      <c r="BR41" s="47"/>
      <c r="BS41" s="53"/>
      <c r="BT41" s="47"/>
      <c r="BU41" s="47"/>
      <c r="BV41" s="47"/>
      <c r="BW41" s="47"/>
      <c r="BX41" s="47">
        <v>1850</v>
      </c>
      <c r="BY41" s="47">
        <v>570</v>
      </c>
      <c r="BZ41" s="47"/>
      <c r="CA41" s="47"/>
      <c r="CB41" s="54">
        <f t="shared" si="34"/>
        <v>3221.3042</v>
      </c>
      <c r="CC41" s="47">
        <v>180</v>
      </c>
      <c r="CD41" s="57"/>
      <c r="CE41" s="47"/>
      <c r="CF41" s="47">
        <f t="shared" si="13"/>
        <v>3401.3042</v>
      </c>
    </row>
    <row r="42" spans="1:84" ht="14.25" customHeight="1">
      <c r="A42" s="47">
        <v>35</v>
      </c>
      <c r="B42" s="47" t="s">
        <v>129</v>
      </c>
      <c r="C42" s="48">
        <v>803002</v>
      </c>
      <c r="D42" s="49" t="s">
        <v>169</v>
      </c>
      <c r="E42" s="49" t="s">
        <v>141</v>
      </c>
      <c r="F42" s="50">
        <f t="shared" si="14"/>
        <v>32</v>
      </c>
      <c r="G42" s="50"/>
      <c r="H42" s="50"/>
      <c r="I42" s="50">
        <v>14</v>
      </c>
      <c r="J42" s="50">
        <v>18</v>
      </c>
      <c r="K42" s="50"/>
      <c r="L42" s="50"/>
      <c r="M42" s="50"/>
      <c r="N42" s="50">
        <v>9</v>
      </c>
      <c r="O42" s="50">
        <f t="shared" si="15"/>
        <v>41</v>
      </c>
      <c r="P42" s="51">
        <f t="shared" si="0"/>
        <v>436.59999999999997</v>
      </c>
      <c r="Q42" s="51">
        <f t="shared" si="1"/>
        <v>324.25200000000001</v>
      </c>
      <c r="R42" s="47">
        <f t="shared" si="16"/>
        <v>91312</v>
      </c>
      <c r="S42" s="58"/>
      <c r="T42" s="51">
        <v>91312</v>
      </c>
      <c r="U42" s="47">
        <f t="shared" si="17"/>
        <v>109.5744</v>
      </c>
      <c r="V42" s="51">
        <f t="shared" si="2"/>
        <v>0</v>
      </c>
      <c r="W42" s="47">
        <f t="shared" si="18"/>
        <v>0</v>
      </c>
      <c r="X42" s="47"/>
      <c r="Y42" s="47"/>
      <c r="Z42" s="47"/>
      <c r="AA42" s="47"/>
      <c r="AB42" s="51">
        <f t="shared" si="19"/>
        <v>46.08</v>
      </c>
      <c r="AC42" s="47">
        <f t="shared" si="20"/>
        <v>0</v>
      </c>
      <c r="AD42" s="47"/>
      <c r="AE42" s="47"/>
      <c r="AF42" s="47">
        <f t="shared" si="21"/>
        <v>46.08</v>
      </c>
      <c r="AG42" s="47">
        <f>22800+15600</f>
        <v>38400</v>
      </c>
      <c r="AH42" s="47"/>
      <c r="AI42" s="47">
        <f t="shared" si="22"/>
        <v>82.88</v>
      </c>
      <c r="AJ42" s="53">
        <f t="shared" si="23"/>
        <v>38.165500000000002</v>
      </c>
      <c r="AK42" s="53">
        <f t="shared" si="24"/>
        <v>381655</v>
      </c>
      <c r="AL42" s="47"/>
      <c r="AM42" s="47">
        <f t="shared" si="3"/>
        <v>16.426100000000002</v>
      </c>
      <c r="AN42" s="47">
        <f t="shared" si="4"/>
        <v>15.463900000000001</v>
      </c>
      <c r="AO42" s="47">
        <f t="shared" si="25"/>
        <v>154639</v>
      </c>
      <c r="AP42" s="47">
        <f t="shared" si="5"/>
        <v>0.96230000000000004</v>
      </c>
      <c r="AQ42" s="47">
        <f t="shared" si="26"/>
        <v>9623</v>
      </c>
      <c r="AR42" s="47"/>
      <c r="AS42" s="47">
        <f t="shared" si="27"/>
        <v>2.5019</v>
      </c>
      <c r="AT42" s="47">
        <f t="shared" si="6"/>
        <v>1.1547000000000001</v>
      </c>
      <c r="AU42" s="47">
        <f t="shared" si="28"/>
        <v>11547</v>
      </c>
      <c r="AV42" s="47">
        <f t="shared" si="7"/>
        <v>1.3472</v>
      </c>
      <c r="AW42" s="47">
        <f t="shared" si="29"/>
        <v>13472</v>
      </c>
      <c r="AX42" s="47">
        <f t="shared" si="8"/>
        <v>28.624099999999999</v>
      </c>
      <c r="AY42" s="47"/>
      <c r="AZ42" s="47"/>
      <c r="BA42" s="54">
        <v>1E-4</v>
      </c>
      <c r="BB42" s="55" t="s">
        <v>169</v>
      </c>
      <c r="BC42" s="51">
        <f t="shared" si="30"/>
        <v>111.52</v>
      </c>
      <c r="BD42" s="47">
        <f t="shared" si="33"/>
        <v>30.72</v>
      </c>
      <c r="BE42" s="47">
        <f t="shared" si="31"/>
        <v>0</v>
      </c>
      <c r="BF42" s="47"/>
      <c r="BG42" s="56">
        <v>77</v>
      </c>
      <c r="BH42" s="47">
        <v>3.8</v>
      </c>
      <c r="BI42" s="51">
        <f t="shared" si="10"/>
        <v>0.82799999999999996</v>
      </c>
      <c r="BJ42" s="51">
        <f t="shared" si="11"/>
        <v>0</v>
      </c>
      <c r="BK42" s="47"/>
      <c r="BL42" s="47"/>
      <c r="BM42" s="47"/>
      <c r="BN42" s="47"/>
      <c r="BO42" s="47"/>
      <c r="BP42" s="47">
        <v>0.82799999999999996</v>
      </c>
      <c r="BQ42" s="47"/>
      <c r="BR42" s="47"/>
      <c r="BS42" s="53"/>
      <c r="BT42" s="47"/>
      <c r="BU42" s="47"/>
      <c r="BV42" s="47"/>
      <c r="BW42" s="47"/>
      <c r="BX42" s="47"/>
      <c r="BY42" s="47"/>
      <c r="BZ42" s="47"/>
      <c r="CA42" s="47"/>
      <c r="CB42" s="54">
        <f t="shared" si="34"/>
        <v>436.59999999999997</v>
      </c>
      <c r="CC42" s="47"/>
      <c r="CD42" s="57"/>
      <c r="CE42" s="47"/>
      <c r="CF42" s="47">
        <f t="shared" si="13"/>
        <v>436.59999999999997</v>
      </c>
    </row>
    <row r="43" spans="1:84" ht="14.25" customHeight="1">
      <c r="A43" s="47">
        <v>36</v>
      </c>
      <c r="B43" s="47" t="s">
        <v>129</v>
      </c>
      <c r="C43" s="48">
        <v>803003</v>
      </c>
      <c r="D43" s="49" t="s">
        <v>170</v>
      </c>
      <c r="E43" s="49" t="s">
        <v>150</v>
      </c>
      <c r="F43" s="50">
        <f t="shared" si="14"/>
        <v>8</v>
      </c>
      <c r="G43" s="50"/>
      <c r="H43" s="50"/>
      <c r="I43" s="50">
        <v>4</v>
      </c>
      <c r="J43" s="50">
        <v>4</v>
      </c>
      <c r="K43" s="50"/>
      <c r="L43" s="50"/>
      <c r="M43" s="50"/>
      <c r="N43" s="50"/>
      <c r="O43" s="50">
        <f t="shared" si="15"/>
        <v>8</v>
      </c>
      <c r="P43" s="51">
        <f t="shared" si="0"/>
        <v>123.9781</v>
      </c>
      <c r="Q43" s="51">
        <f t="shared" si="1"/>
        <v>95.128100000000003</v>
      </c>
      <c r="R43" s="47">
        <f t="shared" si="16"/>
        <v>31344</v>
      </c>
      <c r="S43" s="58"/>
      <c r="T43" s="51">
        <v>31344</v>
      </c>
      <c r="U43" s="47">
        <f t="shared" si="17"/>
        <v>37.6128</v>
      </c>
      <c r="V43" s="51">
        <f t="shared" si="2"/>
        <v>0</v>
      </c>
      <c r="W43" s="47">
        <f t="shared" si="18"/>
        <v>0</v>
      </c>
      <c r="X43" s="47"/>
      <c r="Y43" s="47"/>
      <c r="Z43" s="47"/>
      <c r="AA43" s="47"/>
      <c r="AB43" s="51">
        <f t="shared" si="19"/>
        <v>11.52</v>
      </c>
      <c r="AC43" s="47">
        <f t="shared" si="20"/>
        <v>0</v>
      </c>
      <c r="AD43" s="47"/>
      <c r="AE43" s="47"/>
      <c r="AF43" s="47">
        <f t="shared" si="21"/>
        <v>11.52</v>
      </c>
      <c r="AG43" s="47">
        <v>9600</v>
      </c>
      <c r="AH43" s="47"/>
      <c r="AI43" s="47">
        <f t="shared" si="22"/>
        <v>20.72</v>
      </c>
      <c r="AJ43" s="53">
        <f t="shared" si="23"/>
        <v>11.176399999999999</v>
      </c>
      <c r="AK43" s="53">
        <f t="shared" si="24"/>
        <v>111763.99999999999</v>
      </c>
      <c r="AL43" s="47"/>
      <c r="AM43" s="47">
        <f t="shared" si="3"/>
        <v>4.9583000000000004</v>
      </c>
      <c r="AN43" s="47">
        <f t="shared" si="4"/>
        <v>4.6665999999999999</v>
      </c>
      <c r="AO43" s="47">
        <f t="shared" si="25"/>
        <v>46666</v>
      </c>
      <c r="AP43" s="47">
        <f t="shared" si="5"/>
        <v>0.29170000000000001</v>
      </c>
      <c r="AQ43" s="47">
        <f t="shared" si="26"/>
        <v>2917</v>
      </c>
      <c r="AR43" s="47"/>
      <c r="AS43" s="47">
        <f t="shared" si="27"/>
        <v>0.75829999999999997</v>
      </c>
      <c r="AT43" s="47">
        <f t="shared" si="6"/>
        <v>0.35</v>
      </c>
      <c r="AU43" s="47">
        <f t="shared" si="28"/>
        <v>3500</v>
      </c>
      <c r="AV43" s="47">
        <f t="shared" si="7"/>
        <v>0.4083</v>
      </c>
      <c r="AW43" s="47">
        <f t="shared" si="29"/>
        <v>4083</v>
      </c>
      <c r="AX43" s="47">
        <f t="shared" si="8"/>
        <v>8.3823000000000008</v>
      </c>
      <c r="AY43" s="47"/>
      <c r="AZ43" s="47"/>
      <c r="BA43" s="54">
        <v>1E-4</v>
      </c>
      <c r="BB43" s="49" t="s">
        <v>170</v>
      </c>
      <c r="BC43" s="51">
        <f t="shared" si="30"/>
        <v>27.68</v>
      </c>
      <c r="BD43" s="47">
        <f t="shared" si="33"/>
        <v>7.68</v>
      </c>
      <c r="BE43" s="47">
        <f t="shared" si="31"/>
        <v>0</v>
      </c>
      <c r="BF43" s="47"/>
      <c r="BG43" s="56">
        <v>20</v>
      </c>
      <c r="BH43" s="47"/>
      <c r="BI43" s="51">
        <f t="shared" si="10"/>
        <v>1.17</v>
      </c>
      <c r="BJ43" s="51">
        <f t="shared" si="11"/>
        <v>0</v>
      </c>
      <c r="BK43" s="47"/>
      <c r="BL43" s="47"/>
      <c r="BM43" s="47"/>
      <c r="BN43" s="47"/>
      <c r="BO43" s="47"/>
      <c r="BP43" s="47">
        <v>1.17</v>
      </c>
      <c r="BQ43" s="47"/>
      <c r="BR43" s="47"/>
      <c r="BS43" s="53"/>
      <c r="BT43" s="47"/>
      <c r="BU43" s="47"/>
      <c r="BV43" s="47"/>
      <c r="BW43" s="47"/>
      <c r="BX43" s="47"/>
      <c r="BY43" s="47"/>
      <c r="BZ43" s="47"/>
      <c r="CA43" s="47"/>
      <c r="CB43" s="54">
        <f t="shared" si="34"/>
        <v>123.9781</v>
      </c>
      <c r="CC43" s="47"/>
      <c r="CD43" s="57"/>
      <c r="CE43" s="47"/>
      <c r="CF43" s="47">
        <f t="shared" si="13"/>
        <v>123.9781</v>
      </c>
    </row>
    <row r="44" spans="1:84" ht="14.25" customHeight="1">
      <c r="A44" s="47">
        <v>37</v>
      </c>
      <c r="B44" s="47" t="s">
        <v>129</v>
      </c>
      <c r="C44" s="48">
        <v>803006</v>
      </c>
      <c r="D44" s="49" t="s">
        <v>171</v>
      </c>
      <c r="E44" s="49" t="s">
        <v>150</v>
      </c>
      <c r="F44" s="50">
        <f t="shared" si="14"/>
        <v>6</v>
      </c>
      <c r="G44" s="50"/>
      <c r="H44" s="50"/>
      <c r="I44" s="50">
        <v>4</v>
      </c>
      <c r="J44" s="50">
        <v>2</v>
      </c>
      <c r="K44" s="50"/>
      <c r="L44" s="50"/>
      <c r="M44" s="50"/>
      <c r="N44" s="50"/>
      <c r="O44" s="50">
        <f t="shared" si="15"/>
        <v>6</v>
      </c>
      <c r="P44" s="51">
        <f t="shared" si="0"/>
        <v>95.135500000000008</v>
      </c>
      <c r="Q44" s="51">
        <f t="shared" si="1"/>
        <v>66.375500000000002</v>
      </c>
      <c r="R44" s="47">
        <f t="shared" si="16"/>
        <v>20502</v>
      </c>
      <c r="S44" s="58"/>
      <c r="T44" s="51">
        <v>20502</v>
      </c>
      <c r="U44" s="47">
        <f t="shared" si="17"/>
        <v>24.602399999999999</v>
      </c>
      <c r="V44" s="51">
        <f t="shared" si="2"/>
        <v>0</v>
      </c>
      <c r="W44" s="47">
        <f t="shared" si="18"/>
        <v>0</v>
      </c>
      <c r="X44" s="47"/>
      <c r="Y44" s="47"/>
      <c r="Z44" s="47"/>
      <c r="AA44" s="47"/>
      <c r="AB44" s="51">
        <f t="shared" si="19"/>
        <v>8.64</v>
      </c>
      <c r="AC44" s="47">
        <f t="shared" si="20"/>
        <v>0</v>
      </c>
      <c r="AD44" s="47"/>
      <c r="AE44" s="47"/>
      <c r="AF44" s="47">
        <f t="shared" si="21"/>
        <v>8.64</v>
      </c>
      <c r="AG44" s="47">
        <v>7200</v>
      </c>
      <c r="AH44" s="47"/>
      <c r="AI44" s="47">
        <f t="shared" si="22"/>
        <v>15.54</v>
      </c>
      <c r="AJ44" s="53">
        <f t="shared" si="23"/>
        <v>7.8052000000000001</v>
      </c>
      <c r="AK44" s="53">
        <f t="shared" si="24"/>
        <v>78052</v>
      </c>
      <c r="AL44" s="47"/>
      <c r="AM44" s="47">
        <f t="shared" si="3"/>
        <v>3.4121000000000001</v>
      </c>
      <c r="AN44" s="47">
        <f t="shared" si="4"/>
        <v>3.2113999999999998</v>
      </c>
      <c r="AO44" s="47">
        <f t="shared" si="25"/>
        <v>32113.999999999996</v>
      </c>
      <c r="AP44" s="47">
        <f t="shared" si="5"/>
        <v>0.20069999999999999</v>
      </c>
      <c r="AQ44" s="47">
        <f t="shared" si="26"/>
        <v>2007</v>
      </c>
      <c r="AR44" s="47"/>
      <c r="AS44" s="47">
        <f t="shared" si="27"/>
        <v>0.52190000000000003</v>
      </c>
      <c r="AT44" s="47">
        <f t="shared" si="6"/>
        <v>0.2409</v>
      </c>
      <c r="AU44" s="47">
        <f t="shared" si="28"/>
        <v>2409</v>
      </c>
      <c r="AV44" s="47">
        <f t="shared" si="7"/>
        <v>0.28100000000000003</v>
      </c>
      <c r="AW44" s="47">
        <f t="shared" si="29"/>
        <v>2810.0000000000005</v>
      </c>
      <c r="AX44" s="47">
        <f t="shared" si="8"/>
        <v>5.8539000000000003</v>
      </c>
      <c r="AY44" s="47"/>
      <c r="AZ44" s="47"/>
      <c r="BA44" s="54">
        <v>1E-4</v>
      </c>
      <c r="BB44" s="55" t="s">
        <v>171</v>
      </c>
      <c r="BC44" s="51">
        <f t="shared" si="30"/>
        <v>28.759999999999998</v>
      </c>
      <c r="BD44" s="47">
        <f t="shared" si="33"/>
        <v>5.76</v>
      </c>
      <c r="BE44" s="47">
        <f t="shared" si="31"/>
        <v>0</v>
      </c>
      <c r="BF44" s="47"/>
      <c r="BG44" s="56">
        <v>23</v>
      </c>
      <c r="BH44" s="47"/>
      <c r="BI44" s="51">
        <f t="shared" si="10"/>
        <v>0</v>
      </c>
      <c r="BJ44" s="51">
        <f t="shared" si="11"/>
        <v>0</v>
      </c>
      <c r="BK44" s="47"/>
      <c r="BL44" s="47"/>
      <c r="BM44" s="47"/>
      <c r="BN44" s="47"/>
      <c r="BO44" s="47"/>
      <c r="BP44" s="47"/>
      <c r="BQ44" s="47"/>
      <c r="BR44" s="47"/>
      <c r="BS44" s="53"/>
      <c r="BT44" s="47"/>
      <c r="BU44" s="47"/>
      <c r="BV44" s="47"/>
      <c r="BW44" s="47"/>
      <c r="BX44" s="47"/>
      <c r="BY44" s="47"/>
      <c r="BZ44" s="47"/>
      <c r="CA44" s="47"/>
      <c r="CB44" s="54">
        <f t="shared" si="34"/>
        <v>95.135500000000008</v>
      </c>
      <c r="CC44" s="47"/>
      <c r="CD44" s="57"/>
      <c r="CE44" s="47"/>
      <c r="CF44" s="47">
        <f t="shared" si="13"/>
        <v>95.135500000000008</v>
      </c>
    </row>
    <row r="45" spans="1:84" ht="14.25" customHeight="1">
      <c r="A45" s="47">
        <v>38</v>
      </c>
      <c r="B45" s="47" t="s">
        <v>129</v>
      </c>
      <c r="C45" s="48">
        <v>803005</v>
      </c>
      <c r="D45" s="59" t="s">
        <v>172</v>
      </c>
      <c r="E45" s="59" t="s">
        <v>150</v>
      </c>
      <c r="F45" s="50">
        <f t="shared" si="14"/>
        <v>5</v>
      </c>
      <c r="G45" s="50"/>
      <c r="H45" s="50"/>
      <c r="I45" s="50">
        <v>4</v>
      </c>
      <c r="J45" s="50">
        <v>1</v>
      </c>
      <c r="K45" s="50"/>
      <c r="L45" s="50"/>
      <c r="M45" s="50"/>
      <c r="N45" s="50"/>
      <c r="O45" s="50">
        <f t="shared" si="15"/>
        <v>5</v>
      </c>
      <c r="P45" s="51">
        <f t="shared" si="0"/>
        <v>97.7483</v>
      </c>
      <c r="Q45" s="51">
        <f t="shared" si="1"/>
        <v>52.948299999999996</v>
      </c>
      <c r="R45" s="47">
        <f t="shared" si="16"/>
        <v>15655</v>
      </c>
      <c r="S45" s="58"/>
      <c r="T45" s="58">
        <v>15655</v>
      </c>
      <c r="U45" s="47">
        <f t="shared" si="17"/>
        <v>18.786000000000001</v>
      </c>
      <c r="V45" s="51">
        <f t="shared" si="2"/>
        <v>0</v>
      </c>
      <c r="W45" s="47">
        <f t="shared" si="18"/>
        <v>0</v>
      </c>
      <c r="X45" s="47"/>
      <c r="Y45" s="47"/>
      <c r="Z45" s="47"/>
      <c r="AA45" s="47"/>
      <c r="AB45" s="51">
        <f t="shared" si="19"/>
        <v>7.2</v>
      </c>
      <c r="AC45" s="47">
        <f t="shared" si="20"/>
        <v>0</v>
      </c>
      <c r="AD45" s="47"/>
      <c r="AE45" s="47"/>
      <c r="AF45" s="47">
        <f t="shared" si="21"/>
        <v>7.2</v>
      </c>
      <c r="AG45" s="47">
        <v>6000</v>
      </c>
      <c r="AH45" s="47"/>
      <c r="AI45" s="47">
        <f t="shared" si="22"/>
        <v>12.95</v>
      </c>
      <c r="AJ45" s="53">
        <f t="shared" si="23"/>
        <v>6.2298</v>
      </c>
      <c r="AK45" s="53">
        <f t="shared" si="24"/>
        <v>62298</v>
      </c>
      <c r="AL45" s="47"/>
      <c r="AM45" s="47">
        <f t="shared" si="3"/>
        <v>2.6976</v>
      </c>
      <c r="AN45" s="47">
        <f t="shared" si="4"/>
        <v>2.5388999999999999</v>
      </c>
      <c r="AO45" s="47">
        <f t="shared" si="25"/>
        <v>25389</v>
      </c>
      <c r="AP45" s="47">
        <f t="shared" si="5"/>
        <v>0.15870000000000001</v>
      </c>
      <c r="AQ45" s="47">
        <f t="shared" si="26"/>
        <v>1587</v>
      </c>
      <c r="AR45" s="47"/>
      <c r="AS45" s="47">
        <f t="shared" si="27"/>
        <v>0.41260000000000002</v>
      </c>
      <c r="AT45" s="47">
        <f t="shared" si="6"/>
        <v>0.19040000000000001</v>
      </c>
      <c r="AU45" s="47">
        <f t="shared" si="28"/>
        <v>1904.0000000000002</v>
      </c>
      <c r="AV45" s="47">
        <f t="shared" si="7"/>
        <v>0.22220000000000001</v>
      </c>
      <c r="AW45" s="47">
        <f t="shared" si="29"/>
        <v>2222</v>
      </c>
      <c r="AX45" s="47">
        <f t="shared" si="8"/>
        <v>4.6722999999999999</v>
      </c>
      <c r="AY45" s="47"/>
      <c r="AZ45" s="47"/>
      <c r="BA45" s="54">
        <v>1E-4</v>
      </c>
      <c r="BB45" s="54" t="s">
        <v>172</v>
      </c>
      <c r="BC45" s="51">
        <f t="shared" si="30"/>
        <v>44.8</v>
      </c>
      <c r="BD45" s="47">
        <f t="shared" si="33"/>
        <v>4.8</v>
      </c>
      <c r="BE45" s="47">
        <f t="shared" si="31"/>
        <v>0</v>
      </c>
      <c r="BF45" s="47"/>
      <c r="BG45" s="56">
        <v>40</v>
      </c>
      <c r="BH45" s="47"/>
      <c r="BI45" s="51">
        <f t="shared" si="10"/>
        <v>0</v>
      </c>
      <c r="BJ45" s="51">
        <f t="shared" si="11"/>
        <v>0</v>
      </c>
      <c r="BK45" s="47"/>
      <c r="BL45" s="47"/>
      <c r="BM45" s="47"/>
      <c r="BN45" s="47"/>
      <c r="BO45" s="47"/>
      <c r="BP45" s="47"/>
      <c r="BQ45" s="47"/>
      <c r="BR45" s="47"/>
      <c r="BS45" s="53"/>
      <c r="BT45" s="47"/>
      <c r="BU45" s="47"/>
      <c r="BV45" s="47"/>
      <c r="BW45" s="47"/>
      <c r="BX45" s="47">
        <v>80</v>
      </c>
      <c r="BY45" s="47"/>
      <c r="BZ45" s="47"/>
      <c r="CA45" s="47"/>
      <c r="CB45" s="54">
        <f t="shared" si="34"/>
        <v>177.7483</v>
      </c>
      <c r="CC45" s="47"/>
      <c r="CD45" s="57"/>
      <c r="CE45" s="47"/>
      <c r="CF45" s="47">
        <f t="shared" si="13"/>
        <v>177.7483</v>
      </c>
    </row>
    <row r="46" spans="1:84" ht="14.25" customHeight="1">
      <c r="A46" s="47">
        <v>39</v>
      </c>
      <c r="B46" s="47" t="s">
        <v>129</v>
      </c>
      <c r="C46" s="48">
        <v>807001</v>
      </c>
      <c r="D46" s="49" t="s">
        <v>173</v>
      </c>
      <c r="E46" s="49" t="s">
        <v>141</v>
      </c>
      <c r="F46" s="50">
        <f t="shared" si="14"/>
        <v>48</v>
      </c>
      <c r="G46" s="50">
        <v>29</v>
      </c>
      <c r="H46" s="50">
        <v>2</v>
      </c>
      <c r="I46" s="50">
        <v>17</v>
      </c>
      <c r="J46" s="50"/>
      <c r="K46" s="50"/>
      <c r="L46" s="50"/>
      <c r="M46" s="50"/>
      <c r="N46" s="50">
        <v>4</v>
      </c>
      <c r="O46" s="50">
        <f t="shared" si="15"/>
        <v>52</v>
      </c>
      <c r="P46" s="51">
        <f t="shared" si="0"/>
        <v>606.0856</v>
      </c>
      <c r="Q46" s="51">
        <f t="shared" si="1"/>
        <v>528.96159999999998</v>
      </c>
      <c r="R46" s="47">
        <f t="shared" si="16"/>
        <v>156765</v>
      </c>
      <c r="S46" s="58">
        <v>108239</v>
      </c>
      <c r="T46" s="51">
        <v>48526</v>
      </c>
      <c r="U46" s="47">
        <f t="shared" si="17"/>
        <v>188.11799999999999</v>
      </c>
      <c r="V46" s="51">
        <f t="shared" si="2"/>
        <v>69.75</v>
      </c>
      <c r="W46" s="47">
        <f t="shared" si="18"/>
        <v>69.75</v>
      </c>
      <c r="X46" s="47"/>
      <c r="Y46" s="47"/>
      <c r="Z46" s="47"/>
      <c r="AA46" s="47"/>
      <c r="AB46" s="51">
        <f t="shared" si="19"/>
        <v>89.30749999999999</v>
      </c>
      <c r="AC46" s="47">
        <f t="shared" si="20"/>
        <v>10.8239</v>
      </c>
      <c r="AD46" s="47"/>
      <c r="AE46" s="47"/>
      <c r="AF46" s="47">
        <f t="shared" si="21"/>
        <v>78.483599999999996</v>
      </c>
      <c r="AG46" s="47">
        <v>65403</v>
      </c>
      <c r="AH46" s="47"/>
      <c r="AI46" s="47">
        <f t="shared" si="22"/>
        <v>44.03</v>
      </c>
      <c r="AJ46" s="53">
        <f t="shared" si="23"/>
        <v>62.5929</v>
      </c>
      <c r="AK46" s="53">
        <f t="shared" si="24"/>
        <v>625929</v>
      </c>
      <c r="AL46" s="47"/>
      <c r="AM46" s="47">
        <f t="shared" si="3"/>
        <v>25.691299999999998</v>
      </c>
      <c r="AN46" s="47">
        <f t="shared" si="4"/>
        <v>24.181799999999999</v>
      </c>
      <c r="AO46" s="47">
        <f t="shared" si="25"/>
        <v>241818</v>
      </c>
      <c r="AP46" s="47">
        <f t="shared" si="5"/>
        <v>1.5095000000000001</v>
      </c>
      <c r="AQ46" s="47">
        <f t="shared" si="26"/>
        <v>15095</v>
      </c>
      <c r="AR46" s="47"/>
      <c r="AS46" s="47">
        <f t="shared" si="27"/>
        <v>2.5272000000000001</v>
      </c>
      <c r="AT46" s="47">
        <f t="shared" si="6"/>
        <v>1.8113999999999999</v>
      </c>
      <c r="AU46" s="47">
        <f t="shared" si="28"/>
        <v>18114</v>
      </c>
      <c r="AV46" s="47">
        <f t="shared" si="7"/>
        <v>0.71579999999999999</v>
      </c>
      <c r="AW46" s="47">
        <f t="shared" si="29"/>
        <v>7158</v>
      </c>
      <c r="AX46" s="47">
        <f t="shared" si="8"/>
        <v>46.944699999999997</v>
      </c>
      <c r="AY46" s="47"/>
      <c r="AZ46" s="47"/>
      <c r="BA46" s="54">
        <v>1E-4</v>
      </c>
      <c r="BB46" s="55" t="s">
        <v>173</v>
      </c>
      <c r="BC46" s="51">
        <f t="shared" si="30"/>
        <v>77.123999999999995</v>
      </c>
      <c r="BD46" s="47">
        <f t="shared" si="33"/>
        <v>53.519999999999996</v>
      </c>
      <c r="BE46" s="47">
        <f t="shared" si="31"/>
        <v>23.603999999999999</v>
      </c>
      <c r="BF46" s="47">
        <v>19670</v>
      </c>
      <c r="BG46" s="56">
        <v>0</v>
      </c>
      <c r="BH46" s="47"/>
      <c r="BI46" s="51">
        <f t="shared" si="10"/>
        <v>0</v>
      </c>
      <c r="BJ46" s="51">
        <f t="shared" si="11"/>
        <v>0</v>
      </c>
      <c r="BK46" s="47"/>
      <c r="BL46" s="47"/>
      <c r="BM46" s="47"/>
      <c r="BN46" s="47"/>
      <c r="BO46" s="47"/>
      <c r="BP46" s="47"/>
      <c r="BQ46" s="47"/>
      <c r="BR46" s="47"/>
      <c r="BS46" s="53"/>
      <c r="BT46" s="47"/>
      <c r="BU46" s="47"/>
      <c r="BV46" s="47"/>
      <c r="BW46" s="47"/>
      <c r="BX46" s="47"/>
      <c r="BY46" s="47"/>
      <c r="BZ46" s="47"/>
      <c r="CA46" s="47"/>
      <c r="CB46" s="54">
        <f t="shared" si="34"/>
        <v>606.0856</v>
      </c>
      <c r="CC46" s="47"/>
      <c r="CD46" s="57"/>
      <c r="CE46" s="47"/>
      <c r="CF46" s="47">
        <f t="shared" si="13"/>
        <v>606.0856</v>
      </c>
    </row>
    <row r="47" spans="1:84" ht="14.25" customHeight="1">
      <c r="A47" s="47">
        <v>40</v>
      </c>
      <c r="B47" s="47" t="s">
        <v>129</v>
      </c>
      <c r="C47" s="48">
        <v>809001</v>
      </c>
      <c r="D47" s="49" t="s">
        <v>174</v>
      </c>
      <c r="E47" s="49" t="s">
        <v>150</v>
      </c>
      <c r="F47" s="50">
        <f t="shared" si="14"/>
        <v>20</v>
      </c>
      <c r="G47" s="50"/>
      <c r="H47" s="50"/>
      <c r="I47" s="50">
        <v>20</v>
      </c>
      <c r="J47" s="50"/>
      <c r="K47" s="50"/>
      <c r="L47" s="50"/>
      <c r="M47" s="50"/>
      <c r="N47" s="50"/>
      <c r="O47" s="50">
        <f t="shared" si="15"/>
        <v>20</v>
      </c>
      <c r="P47" s="51">
        <f t="shared" si="0"/>
        <v>270.67759999999998</v>
      </c>
      <c r="Q47" s="51">
        <f t="shared" si="1"/>
        <v>230.4776</v>
      </c>
      <c r="R47" s="47">
        <f t="shared" si="16"/>
        <v>60262</v>
      </c>
      <c r="S47" s="58"/>
      <c r="T47" s="51">
        <v>60262</v>
      </c>
      <c r="U47" s="47">
        <f t="shared" si="17"/>
        <v>72.314400000000006</v>
      </c>
      <c r="V47" s="51">
        <f t="shared" si="2"/>
        <v>18.504000000000001</v>
      </c>
      <c r="W47" s="47">
        <f t="shared" si="18"/>
        <v>0</v>
      </c>
      <c r="X47" s="47">
        <v>18.504000000000001</v>
      </c>
      <c r="Y47" s="47"/>
      <c r="Z47" s="47"/>
      <c r="AA47" s="47"/>
      <c r="AB47" s="51">
        <f t="shared" si="19"/>
        <v>32.880000000000003</v>
      </c>
      <c r="AC47" s="47">
        <f t="shared" si="20"/>
        <v>0</v>
      </c>
      <c r="AD47" s="47">
        <v>4.08</v>
      </c>
      <c r="AE47" s="47"/>
      <c r="AF47" s="47">
        <f t="shared" si="21"/>
        <v>28.8</v>
      </c>
      <c r="AG47" s="47">
        <v>24000</v>
      </c>
      <c r="AH47" s="47"/>
      <c r="AI47" s="47">
        <f t="shared" si="22"/>
        <v>51.8</v>
      </c>
      <c r="AJ47" s="53">
        <f t="shared" si="23"/>
        <v>24.4663</v>
      </c>
      <c r="AK47" s="53">
        <f t="shared" si="24"/>
        <v>244663</v>
      </c>
      <c r="AL47" s="47"/>
      <c r="AM47" s="47">
        <f t="shared" si="3"/>
        <v>10.5497</v>
      </c>
      <c r="AN47" s="47">
        <f t="shared" si="4"/>
        <v>9.9291999999999998</v>
      </c>
      <c r="AO47" s="47">
        <f t="shared" si="25"/>
        <v>99292</v>
      </c>
      <c r="AP47" s="47">
        <f t="shared" si="5"/>
        <v>0.62060000000000004</v>
      </c>
      <c r="AQ47" s="47">
        <f t="shared" si="26"/>
        <v>6206</v>
      </c>
      <c r="AR47" s="47"/>
      <c r="AS47" s="47">
        <f t="shared" si="27"/>
        <v>1.6134999999999999</v>
      </c>
      <c r="AT47" s="47">
        <f t="shared" si="6"/>
        <v>0.74470000000000003</v>
      </c>
      <c r="AU47" s="47">
        <f t="shared" si="28"/>
        <v>7447</v>
      </c>
      <c r="AV47" s="47">
        <f t="shared" si="7"/>
        <v>0.86880000000000002</v>
      </c>
      <c r="AW47" s="47">
        <f t="shared" si="29"/>
        <v>8688</v>
      </c>
      <c r="AX47" s="47">
        <f t="shared" si="8"/>
        <v>18.349699999999999</v>
      </c>
      <c r="AY47" s="47"/>
      <c r="AZ47" s="47"/>
      <c r="BA47" s="54">
        <v>1E-4</v>
      </c>
      <c r="BB47" s="55" t="s">
        <v>174</v>
      </c>
      <c r="BC47" s="51">
        <f t="shared" si="30"/>
        <v>40.200000000000003</v>
      </c>
      <c r="BD47" s="47">
        <f t="shared" si="33"/>
        <v>19.2</v>
      </c>
      <c r="BE47" s="47">
        <f t="shared" si="31"/>
        <v>0</v>
      </c>
      <c r="BF47" s="47"/>
      <c r="BG47" s="56">
        <v>21</v>
      </c>
      <c r="BH47" s="47"/>
      <c r="BI47" s="51">
        <f t="shared" si="10"/>
        <v>0</v>
      </c>
      <c r="BJ47" s="51">
        <f t="shared" si="11"/>
        <v>0</v>
      </c>
      <c r="BK47" s="47"/>
      <c r="BL47" s="47"/>
      <c r="BM47" s="47"/>
      <c r="BN47" s="47"/>
      <c r="BO47" s="47"/>
      <c r="BP47" s="47"/>
      <c r="BQ47" s="47"/>
      <c r="BR47" s="47"/>
      <c r="BS47" s="53"/>
      <c r="BT47" s="47"/>
      <c r="BU47" s="47"/>
      <c r="BV47" s="47"/>
      <c r="BW47" s="47"/>
      <c r="BX47" s="47"/>
      <c r="BY47" s="47"/>
      <c r="BZ47" s="47"/>
      <c r="CA47" s="47"/>
      <c r="CB47" s="54">
        <f t="shared" si="34"/>
        <v>270.67759999999998</v>
      </c>
      <c r="CC47" s="47"/>
      <c r="CD47" s="57"/>
      <c r="CE47" s="47"/>
      <c r="CF47" s="47">
        <f t="shared" si="13"/>
        <v>270.67759999999998</v>
      </c>
    </row>
    <row r="48" spans="1:84" ht="14.25" customHeight="1">
      <c r="A48" s="47">
        <v>41</v>
      </c>
      <c r="B48" s="47" t="s">
        <v>129</v>
      </c>
      <c r="C48" s="48">
        <v>811001</v>
      </c>
      <c r="D48" s="49" t="s">
        <v>175</v>
      </c>
      <c r="E48" s="49" t="s">
        <v>150</v>
      </c>
      <c r="F48" s="50">
        <f t="shared" si="14"/>
        <v>13</v>
      </c>
      <c r="G48" s="50"/>
      <c r="H48" s="50"/>
      <c r="I48" s="50">
        <v>12</v>
      </c>
      <c r="J48" s="50">
        <v>1</v>
      </c>
      <c r="K48" s="50"/>
      <c r="L48" s="50"/>
      <c r="M48" s="50"/>
      <c r="N48" s="50"/>
      <c r="O48" s="50">
        <f t="shared" si="15"/>
        <v>13</v>
      </c>
      <c r="P48" s="51">
        <f t="shared" si="0"/>
        <v>175.0189</v>
      </c>
      <c r="Q48" s="51">
        <f t="shared" si="1"/>
        <v>155.53890000000001</v>
      </c>
      <c r="R48" s="47">
        <f t="shared" si="16"/>
        <v>42506</v>
      </c>
      <c r="S48" s="58"/>
      <c r="T48" s="51">
        <v>42506</v>
      </c>
      <c r="U48" s="47">
        <f t="shared" si="17"/>
        <v>51.007199999999997</v>
      </c>
      <c r="V48" s="51">
        <f t="shared" si="2"/>
        <v>12.24</v>
      </c>
      <c r="W48" s="47">
        <f t="shared" si="18"/>
        <v>0</v>
      </c>
      <c r="X48" s="47">
        <v>12.24</v>
      </c>
      <c r="Y48" s="47"/>
      <c r="Z48" s="47"/>
      <c r="AA48" s="47"/>
      <c r="AB48" s="51">
        <f t="shared" si="19"/>
        <v>21.372</v>
      </c>
      <c r="AC48" s="47">
        <f t="shared" si="20"/>
        <v>0</v>
      </c>
      <c r="AD48" s="47">
        <v>2.6520000000000001</v>
      </c>
      <c r="AE48" s="47"/>
      <c r="AF48" s="47">
        <f t="shared" si="21"/>
        <v>18.72</v>
      </c>
      <c r="AG48" s="47">
        <v>15600</v>
      </c>
      <c r="AH48" s="47"/>
      <c r="AI48" s="47">
        <f t="shared" si="22"/>
        <v>33.67</v>
      </c>
      <c r="AJ48" s="53">
        <f t="shared" si="23"/>
        <v>16.543600000000001</v>
      </c>
      <c r="AK48" s="53">
        <f t="shared" si="24"/>
        <v>165436</v>
      </c>
      <c r="AL48" s="47"/>
      <c r="AM48" s="47">
        <f t="shared" si="3"/>
        <v>7.1976000000000004</v>
      </c>
      <c r="AN48" s="47">
        <f t="shared" si="4"/>
        <v>6.7742000000000004</v>
      </c>
      <c r="AO48" s="47">
        <f t="shared" si="25"/>
        <v>67742</v>
      </c>
      <c r="AP48" s="47">
        <f t="shared" si="5"/>
        <v>0.4234</v>
      </c>
      <c r="AQ48" s="47">
        <f t="shared" si="26"/>
        <v>4234</v>
      </c>
      <c r="AR48" s="47"/>
      <c r="AS48" s="47">
        <f t="shared" si="27"/>
        <v>1.1008</v>
      </c>
      <c r="AT48" s="47">
        <f t="shared" si="6"/>
        <v>0.5081</v>
      </c>
      <c r="AU48" s="47">
        <f t="shared" si="28"/>
        <v>5081</v>
      </c>
      <c r="AV48" s="47">
        <f t="shared" si="7"/>
        <v>0.5927</v>
      </c>
      <c r="AW48" s="47">
        <f t="shared" si="29"/>
        <v>5927</v>
      </c>
      <c r="AX48" s="47">
        <f t="shared" si="8"/>
        <v>12.4077</v>
      </c>
      <c r="AY48" s="47"/>
      <c r="AZ48" s="47"/>
      <c r="BA48" s="54">
        <v>1E-4</v>
      </c>
      <c r="BB48" s="55" t="s">
        <v>175</v>
      </c>
      <c r="BC48" s="51">
        <f t="shared" si="30"/>
        <v>19.48</v>
      </c>
      <c r="BD48" s="47">
        <f t="shared" si="33"/>
        <v>12.48</v>
      </c>
      <c r="BE48" s="47">
        <f t="shared" si="31"/>
        <v>0</v>
      </c>
      <c r="BF48" s="47"/>
      <c r="BG48" s="56">
        <v>7</v>
      </c>
      <c r="BH48" s="47"/>
      <c r="BI48" s="51">
        <f t="shared" si="10"/>
        <v>0</v>
      </c>
      <c r="BJ48" s="51">
        <f t="shared" si="11"/>
        <v>0</v>
      </c>
      <c r="BK48" s="47"/>
      <c r="BL48" s="47"/>
      <c r="BM48" s="47"/>
      <c r="BN48" s="47"/>
      <c r="BO48" s="47"/>
      <c r="BP48" s="47"/>
      <c r="BQ48" s="47"/>
      <c r="BR48" s="47"/>
      <c r="BS48" s="53"/>
      <c r="BT48" s="47"/>
      <c r="BU48" s="47"/>
      <c r="BV48" s="47"/>
      <c r="BW48" s="47"/>
      <c r="BX48" s="47"/>
      <c r="BY48" s="47"/>
      <c r="BZ48" s="47"/>
      <c r="CA48" s="47"/>
      <c r="CB48" s="54">
        <f t="shared" si="34"/>
        <v>175.0189</v>
      </c>
      <c r="CC48" s="47"/>
      <c r="CD48" s="57"/>
      <c r="CE48" s="47"/>
      <c r="CF48" s="47">
        <f t="shared" si="13"/>
        <v>175.0189</v>
      </c>
    </row>
    <row r="49" spans="1:84" ht="14.25" customHeight="1">
      <c r="A49" s="47">
        <v>42</v>
      </c>
      <c r="B49" s="47" t="s">
        <v>129</v>
      </c>
      <c r="C49" s="48">
        <v>812001</v>
      </c>
      <c r="D49" s="59" t="s">
        <v>176</v>
      </c>
      <c r="E49" s="59" t="s">
        <v>150</v>
      </c>
      <c r="F49" s="50">
        <f t="shared" si="14"/>
        <v>30</v>
      </c>
      <c r="G49" s="50"/>
      <c r="H49" s="50"/>
      <c r="I49" s="50">
        <v>18</v>
      </c>
      <c r="J49" s="50">
        <v>12</v>
      </c>
      <c r="K49" s="50"/>
      <c r="L49" s="50"/>
      <c r="M49" s="50"/>
      <c r="N49" s="50">
        <v>1</v>
      </c>
      <c r="O49" s="50">
        <f t="shared" si="15"/>
        <v>31</v>
      </c>
      <c r="P49" s="51">
        <f t="shared" si="0"/>
        <v>522.62799999999993</v>
      </c>
      <c r="Q49" s="51">
        <f t="shared" si="1"/>
        <v>362.57999999999993</v>
      </c>
      <c r="R49" s="47">
        <f t="shared" si="16"/>
        <v>101929</v>
      </c>
      <c r="S49" s="58"/>
      <c r="T49" s="51">
        <v>101929</v>
      </c>
      <c r="U49" s="47">
        <f t="shared" si="17"/>
        <v>122.31480000000001</v>
      </c>
      <c r="V49" s="51">
        <f t="shared" si="2"/>
        <v>25.536000000000001</v>
      </c>
      <c r="W49" s="47">
        <f t="shared" si="18"/>
        <v>0</v>
      </c>
      <c r="X49" s="47">
        <v>25.536000000000001</v>
      </c>
      <c r="Y49" s="47"/>
      <c r="Z49" s="47"/>
      <c r="AA49" s="47"/>
      <c r="AB49" s="51">
        <f t="shared" si="19"/>
        <v>49.32</v>
      </c>
      <c r="AC49" s="47">
        <f t="shared" si="20"/>
        <v>0</v>
      </c>
      <c r="AD49" s="47">
        <v>6.12</v>
      </c>
      <c r="AE49" s="47"/>
      <c r="AF49" s="47">
        <f t="shared" si="21"/>
        <v>43.2</v>
      </c>
      <c r="AG49" s="47">
        <v>36000</v>
      </c>
      <c r="AH49" s="47"/>
      <c r="AI49" s="47">
        <f t="shared" si="22"/>
        <v>77.7</v>
      </c>
      <c r="AJ49" s="53">
        <f t="shared" si="23"/>
        <v>38.914400000000001</v>
      </c>
      <c r="AK49" s="53">
        <f t="shared" si="24"/>
        <v>389144</v>
      </c>
      <c r="AL49" s="47"/>
      <c r="AM49" s="47">
        <f t="shared" si="3"/>
        <v>17.008800000000001</v>
      </c>
      <c r="AN49" s="47">
        <f t="shared" si="4"/>
        <v>16.008700000000001</v>
      </c>
      <c r="AO49" s="47">
        <f t="shared" si="25"/>
        <v>160087</v>
      </c>
      <c r="AP49" s="47">
        <f t="shared" si="5"/>
        <v>1.0001</v>
      </c>
      <c r="AQ49" s="47">
        <f t="shared" si="26"/>
        <v>10001</v>
      </c>
      <c r="AR49" s="47"/>
      <c r="AS49" s="47">
        <f t="shared" si="27"/>
        <v>2.6002000000000001</v>
      </c>
      <c r="AT49" s="47">
        <f t="shared" si="6"/>
        <v>1.2000999999999999</v>
      </c>
      <c r="AU49" s="47">
        <f t="shared" si="28"/>
        <v>12001</v>
      </c>
      <c r="AV49" s="47">
        <f t="shared" si="7"/>
        <v>1.4000999999999999</v>
      </c>
      <c r="AW49" s="47">
        <f t="shared" si="29"/>
        <v>14000.999999999998</v>
      </c>
      <c r="AX49" s="47">
        <f t="shared" si="8"/>
        <v>29.1858</v>
      </c>
      <c r="AY49" s="47"/>
      <c r="AZ49" s="47"/>
      <c r="BA49" s="54">
        <v>1E-4</v>
      </c>
      <c r="BB49" s="54" t="s">
        <v>176</v>
      </c>
      <c r="BC49" s="51">
        <f t="shared" si="30"/>
        <v>160.048</v>
      </c>
      <c r="BD49" s="47">
        <f t="shared" si="33"/>
        <v>28.799999999999997</v>
      </c>
      <c r="BE49" s="47">
        <f t="shared" si="31"/>
        <v>1.248</v>
      </c>
      <c r="BF49" s="47">
        <v>1040</v>
      </c>
      <c r="BG49" s="56">
        <v>130</v>
      </c>
      <c r="BH49" s="47"/>
      <c r="BI49" s="51">
        <f t="shared" si="10"/>
        <v>0</v>
      </c>
      <c r="BJ49" s="51">
        <f t="shared" si="11"/>
        <v>0</v>
      </c>
      <c r="BK49" s="47"/>
      <c r="BL49" s="47"/>
      <c r="BM49" s="47"/>
      <c r="BN49" s="47"/>
      <c r="BO49" s="47"/>
      <c r="BP49" s="47"/>
      <c r="BQ49" s="47"/>
      <c r="BR49" s="47"/>
      <c r="BS49" s="53"/>
      <c r="BT49" s="47"/>
      <c r="BU49" s="47"/>
      <c r="BV49" s="47"/>
      <c r="BW49" s="47"/>
      <c r="BX49" s="47"/>
      <c r="BY49" s="47"/>
      <c r="BZ49" s="47"/>
      <c r="CA49" s="47"/>
      <c r="CB49" s="54">
        <f t="shared" si="34"/>
        <v>522.62799999999993</v>
      </c>
      <c r="CC49" s="47"/>
      <c r="CD49" s="57"/>
      <c r="CE49" s="47"/>
      <c r="CF49" s="47">
        <f t="shared" si="13"/>
        <v>522.62799999999993</v>
      </c>
    </row>
    <row r="50" spans="1:84" ht="14.25" customHeight="1">
      <c r="A50" s="47">
        <v>43</v>
      </c>
      <c r="B50" s="47" t="s">
        <v>129</v>
      </c>
      <c r="C50" s="48">
        <v>810001</v>
      </c>
      <c r="D50" s="49" t="s">
        <v>177</v>
      </c>
      <c r="E50" s="49" t="s">
        <v>131</v>
      </c>
      <c r="F50" s="50">
        <f t="shared" si="14"/>
        <v>16</v>
      </c>
      <c r="G50" s="50">
        <v>15</v>
      </c>
      <c r="H50" s="50">
        <v>1</v>
      </c>
      <c r="I50" s="50"/>
      <c r="J50" s="50"/>
      <c r="K50" s="50"/>
      <c r="L50" s="50"/>
      <c r="M50" s="50"/>
      <c r="N50" s="50">
        <v>12</v>
      </c>
      <c r="O50" s="50">
        <f t="shared" si="15"/>
        <v>28</v>
      </c>
      <c r="P50" s="51">
        <f t="shared" si="0"/>
        <v>392.23140000000001</v>
      </c>
      <c r="Q50" s="51">
        <f t="shared" si="1"/>
        <v>202.08340000000001</v>
      </c>
      <c r="R50" s="47">
        <f t="shared" si="16"/>
        <v>65295</v>
      </c>
      <c r="S50" s="58">
        <v>65295</v>
      </c>
      <c r="T50" s="51"/>
      <c r="U50" s="47">
        <f t="shared" si="17"/>
        <v>78.353999999999999</v>
      </c>
      <c r="V50" s="51">
        <f t="shared" si="2"/>
        <v>36</v>
      </c>
      <c r="W50" s="47">
        <f t="shared" si="18"/>
        <v>36</v>
      </c>
      <c r="X50" s="47"/>
      <c r="Y50" s="47"/>
      <c r="Z50" s="47"/>
      <c r="AA50" s="47"/>
      <c r="AB50" s="51">
        <f t="shared" si="19"/>
        <v>35.323500000000003</v>
      </c>
      <c r="AC50" s="47">
        <f t="shared" si="20"/>
        <v>6.5294999999999996</v>
      </c>
      <c r="AD50" s="47"/>
      <c r="AE50" s="47"/>
      <c r="AF50" s="47">
        <f t="shared" si="21"/>
        <v>28.794</v>
      </c>
      <c r="AG50" s="47">
        <v>23995</v>
      </c>
      <c r="AH50" s="47"/>
      <c r="AI50" s="47">
        <f t="shared" si="22"/>
        <v>0</v>
      </c>
      <c r="AJ50" s="53">
        <f t="shared" si="23"/>
        <v>23.948399999999999</v>
      </c>
      <c r="AK50" s="53">
        <f t="shared" si="24"/>
        <v>239484</v>
      </c>
      <c r="AL50" s="47"/>
      <c r="AM50" s="47">
        <f t="shared" si="3"/>
        <v>9.8101000000000003</v>
      </c>
      <c r="AN50" s="47">
        <f t="shared" si="4"/>
        <v>9.2383000000000006</v>
      </c>
      <c r="AO50" s="47">
        <f t="shared" si="25"/>
        <v>92383</v>
      </c>
      <c r="AP50" s="47">
        <f t="shared" si="5"/>
        <v>0.57179999999999997</v>
      </c>
      <c r="AQ50" s="47">
        <f t="shared" si="26"/>
        <v>5718</v>
      </c>
      <c r="AR50" s="47"/>
      <c r="AS50" s="47">
        <f t="shared" si="27"/>
        <v>0.68610000000000004</v>
      </c>
      <c r="AT50" s="47">
        <f t="shared" si="6"/>
        <v>0.68610000000000004</v>
      </c>
      <c r="AU50" s="47">
        <f t="shared" si="28"/>
        <v>6861</v>
      </c>
      <c r="AV50" s="47">
        <f t="shared" si="7"/>
        <v>0</v>
      </c>
      <c r="AW50" s="47">
        <f t="shared" si="29"/>
        <v>0</v>
      </c>
      <c r="AX50" s="47">
        <f t="shared" si="8"/>
        <v>17.961300000000001</v>
      </c>
      <c r="AY50" s="47"/>
      <c r="AZ50" s="47"/>
      <c r="BA50" s="54">
        <v>1E-4</v>
      </c>
      <c r="BB50" s="55" t="s">
        <v>177</v>
      </c>
      <c r="BC50" s="51">
        <f t="shared" si="30"/>
        <v>186.83600000000001</v>
      </c>
      <c r="BD50" s="47">
        <f t="shared" si="33"/>
        <v>19.2</v>
      </c>
      <c r="BE50" s="47">
        <f t="shared" si="31"/>
        <v>12.635999999999999</v>
      </c>
      <c r="BF50" s="47">
        <v>10530</v>
      </c>
      <c r="BG50" s="56">
        <v>155</v>
      </c>
      <c r="BH50" s="47"/>
      <c r="BI50" s="51">
        <f t="shared" si="10"/>
        <v>3.3119999999999998</v>
      </c>
      <c r="BJ50" s="51">
        <f t="shared" si="11"/>
        <v>0</v>
      </c>
      <c r="BK50" s="47"/>
      <c r="BL50" s="47"/>
      <c r="BM50" s="47"/>
      <c r="BN50" s="47"/>
      <c r="BO50" s="47"/>
      <c r="BP50" s="47">
        <v>3.3119999999999998</v>
      </c>
      <c r="BQ50" s="47"/>
      <c r="BR50" s="47"/>
      <c r="BS50" s="53"/>
      <c r="BT50" s="47"/>
      <c r="BU50" s="47"/>
      <c r="BV50" s="47"/>
      <c r="BW50" s="47"/>
      <c r="BX50" s="47">
        <v>180</v>
      </c>
      <c r="BY50" s="47"/>
      <c r="BZ50" s="47"/>
      <c r="CA50" s="47"/>
      <c r="CB50" s="54">
        <f t="shared" si="34"/>
        <v>572.23140000000001</v>
      </c>
      <c r="CC50" s="47"/>
      <c r="CD50" s="57"/>
      <c r="CE50" s="47"/>
      <c r="CF50" s="47">
        <f t="shared" si="13"/>
        <v>572.23140000000001</v>
      </c>
    </row>
    <row r="51" spans="1:84" ht="14.25" customHeight="1">
      <c r="A51" s="47">
        <v>44</v>
      </c>
      <c r="B51" s="47" t="s">
        <v>129</v>
      </c>
      <c r="C51" s="48">
        <v>810005</v>
      </c>
      <c r="D51" s="49" t="s">
        <v>178</v>
      </c>
      <c r="E51" s="49" t="s">
        <v>150</v>
      </c>
      <c r="F51" s="50">
        <f t="shared" si="14"/>
        <v>188</v>
      </c>
      <c r="G51" s="50"/>
      <c r="H51" s="50"/>
      <c r="I51" s="50">
        <f>216-28</f>
        <v>188</v>
      </c>
      <c r="J51" s="50"/>
      <c r="K51" s="50"/>
      <c r="L51" s="50"/>
      <c r="M51" s="50"/>
      <c r="N51" s="50">
        <f>123-1</f>
        <v>122</v>
      </c>
      <c r="O51" s="50">
        <f t="shared" si="15"/>
        <v>310</v>
      </c>
      <c r="P51" s="51">
        <f t="shared" si="0"/>
        <v>2570.2530400000005</v>
      </c>
      <c r="Q51" s="51">
        <f t="shared" si="1"/>
        <v>2187.4490400000004</v>
      </c>
      <c r="R51" s="47">
        <f t="shared" si="16"/>
        <v>657963.19999999995</v>
      </c>
      <c r="S51" s="58"/>
      <c r="T51" s="51">
        <v>657963.19999999995</v>
      </c>
      <c r="U51" s="47">
        <f t="shared" si="17"/>
        <v>789.55583999999999</v>
      </c>
      <c r="V51" s="51">
        <f t="shared" si="2"/>
        <v>84.168000000000006</v>
      </c>
      <c r="W51" s="47">
        <f t="shared" si="18"/>
        <v>0</v>
      </c>
      <c r="X51" s="47">
        <v>84.168000000000006</v>
      </c>
      <c r="Y51" s="47"/>
      <c r="Z51" s="47"/>
      <c r="AA51" s="47"/>
      <c r="AB51" s="51">
        <f t="shared" si="19"/>
        <v>272.01600000000002</v>
      </c>
      <c r="AC51" s="47">
        <f t="shared" si="20"/>
        <v>0</v>
      </c>
      <c r="AD51" s="47">
        <v>17.135999999999999</v>
      </c>
      <c r="AE51" s="47"/>
      <c r="AF51" s="47">
        <f t="shared" si="21"/>
        <v>254.88</v>
      </c>
      <c r="AG51" s="47">
        <v>212400</v>
      </c>
      <c r="AH51" s="47"/>
      <c r="AI51" s="47">
        <f t="shared" si="22"/>
        <v>486.92</v>
      </c>
      <c r="AJ51" s="53">
        <f t="shared" si="23"/>
        <v>245.01689999999999</v>
      </c>
      <c r="AK51" s="53">
        <f t="shared" si="24"/>
        <v>2450169</v>
      </c>
      <c r="AL51" s="47"/>
      <c r="AM51" s="47">
        <f t="shared" si="3"/>
        <v>109.41540000000001</v>
      </c>
      <c r="AN51" s="47">
        <f t="shared" si="4"/>
        <v>103.0331</v>
      </c>
      <c r="AO51" s="47">
        <f t="shared" si="25"/>
        <v>1030331</v>
      </c>
      <c r="AP51" s="47">
        <f t="shared" si="5"/>
        <v>6.3823999999999996</v>
      </c>
      <c r="AQ51" s="47">
        <f t="shared" si="26"/>
        <v>63823.999999999993</v>
      </c>
      <c r="AR51" s="47"/>
      <c r="AS51" s="47">
        <f t="shared" si="27"/>
        <v>16.594200000000001</v>
      </c>
      <c r="AT51" s="47">
        <f t="shared" si="6"/>
        <v>7.6589</v>
      </c>
      <c r="AU51" s="47">
        <f t="shared" si="28"/>
        <v>76589</v>
      </c>
      <c r="AV51" s="47">
        <f t="shared" si="7"/>
        <v>8.9352999999999998</v>
      </c>
      <c r="AW51" s="47">
        <f t="shared" si="29"/>
        <v>89353</v>
      </c>
      <c r="AX51" s="47">
        <f t="shared" si="8"/>
        <v>183.7627</v>
      </c>
      <c r="AY51" s="47"/>
      <c r="AZ51" s="47"/>
      <c r="BA51" s="54">
        <v>1E-4</v>
      </c>
      <c r="BB51" s="55" t="s">
        <v>178</v>
      </c>
      <c r="BC51" s="51">
        <f t="shared" si="30"/>
        <v>340.48</v>
      </c>
      <c r="BD51" s="47">
        <f t="shared" si="33"/>
        <v>180.48</v>
      </c>
      <c r="BE51" s="47">
        <f t="shared" si="31"/>
        <v>0</v>
      </c>
      <c r="BF51" s="47"/>
      <c r="BG51" s="56">
        <v>140</v>
      </c>
      <c r="BH51" s="47">
        <v>20</v>
      </c>
      <c r="BI51" s="51">
        <f t="shared" si="10"/>
        <v>42.323999999999998</v>
      </c>
      <c r="BJ51" s="51">
        <f t="shared" si="11"/>
        <v>0</v>
      </c>
      <c r="BK51" s="47"/>
      <c r="BL51" s="47"/>
      <c r="BM51" s="47"/>
      <c r="BN51" s="47"/>
      <c r="BO51" s="47"/>
      <c r="BP51" s="47">
        <v>42.323999999999998</v>
      </c>
      <c r="BQ51" s="47"/>
      <c r="BR51" s="47"/>
      <c r="BS51" s="53"/>
      <c r="BT51" s="47"/>
      <c r="BU51" s="47"/>
      <c r="BV51" s="47"/>
      <c r="BW51" s="47"/>
      <c r="BX51" s="47"/>
      <c r="BY51" s="47"/>
      <c r="BZ51" s="47"/>
      <c r="CA51" s="47"/>
      <c r="CB51" s="54">
        <f t="shared" si="34"/>
        <v>2570.2530400000005</v>
      </c>
      <c r="CC51" s="47"/>
      <c r="CD51" s="57"/>
      <c r="CE51" s="47"/>
      <c r="CF51" s="47">
        <f t="shared" si="13"/>
        <v>2570.2530400000005</v>
      </c>
    </row>
    <row r="52" spans="1:84" ht="14.25" customHeight="1">
      <c r="A52" s="47">
        <v>45</v>
      </c>
      <c r="B52" s="47" t="s">
        <v>129</v>
      </c>
      <c r="C52" s="48">
        <v>810007</v>
      </c>
      <c r="D52" s="49" t="s">
        <v>179</v>
      </c>
      <c r="E52" s="49" t="s">
        <v>150</v>
      </c>
      <c r="F52" s="50">
        <f t="shared" si="14"/>
        <v>16</v>
      </c>
      <c r="G52" s="50"/>
      <c r="H52" s="50"/>
      <c r="I52" s="50">
        <f>27-11</f>
        <v>16</v>
      </c>
      <c r="J52" s="50"/>
      <c r="K52" s="50"/>
      <c r="L52" s="50"/>
      <c r="M52" s="50"/>
      <c r="N52" s="50"/>
      <c r="O52" s="50">
        <f t="shared" si="15"/>
        <v>16</v>
      </c>
      <c r="P52" s="51">
        <f t="shared" si="0"/>
        <v>213.12309999999997</v>
      </c>
      <c r="Q52" s="51">
        <f t="shared" si="1"/>
        <v>191.76309999999998</v>
      </c>
      <c r="R52" s="47">
        <f t="shared" si="16"/>
        <v>53483</v>
      </c>
      <c r="S52" s="58"/>
      <c r="T52" s="51">
        <v>53483</v>
      </c>
      <c r="U52" s="47">
        <f t="shared" si="17"/>
        <v>64.179599999999994</v>
      </c>
      <c r="V52" s="51">
        <f t="shared" si="2"/>
        <v>13.464</v>
      </c>
      <c r="W52" s="47">
        <f t="shared" si="18"/>
        <v>0</v>
      </c>
      <c r="X52" s="47">
        <v>13.464</v>
      </c>
      <c r="Y52" s="47"/>
      <c r="Z52" s="47"/>
      <c r="AA52" s="47"/>
      <c r="AB52" s="51">
        <f t="shared" si="19"/>
        <v>26.303999999999998</v>
      </c>
      <c r="AC52" s="47">
        <f t="shared" si="20"/>
        <v>0</v>
      </c>
      <c r="AD52" s="47">
        <v>3.2639999999999998</v>
      </c>
      <c r="AE52" s="47"/>
      <c r="AF52" s="47">
        <f t="shared" si="21"/>
        <v>23.04</v>
      </c>
      <c r="AG52" s="47">
        <v>19200</v>
      </c>
      <c r="AH52" s="47"/>
      <c r="AI52" s="47">
        <f t="shared" si="22"/>
        <v>41.44</v>
      </c>
      <c r="AJ52" s="53">
        <f t="shared" si="23"/>
        <v>20.5855</v>
      </c>
      <c r="AK52" s="53">
        <f t="shared" si="24"/>
        <v>205855</v>
      </c>
      <c r="AL52" s="47"/>
      <c r="AM52" s="47">
        <f t="shared" si="3"/>
        <v>8.9777000000000005</v>
      </c>
      <c r="AN52" s="47">
        <f t="shared" si="4"/>
        <v>8.4496000000000002</v>
      </c>
      <c r="AO52" s="47">
        <f t="shared" si="25"/>
        <v>84496</v>
      </c>
      <c r="AP52" s="47">
        <f t="shared" si="5"/>
        <v>0.52810000000000001</v>
      </c>
      <c r="AQ52" s="47">
        <f t="shared" si="26"/>
        <v>5281</v>
      </c>
      <c r="AR52" s="47"/>
      <c r="AS52" s="47">
        <f t="shared" si="27"/>
        <v>1.3731</v>
      </c>
      <c r="AT52" s="47">
        <f t="shared" si="6"/>
        <v>0.63370000000000004</v>
      </c>
      <c r="AU52" s="47">
        <f t="shared" si="28"/>
        <v>6337</v>
      </c>
      <c r="AV52" s="47">
        <f t="shared" si="7"/>
        <v>0.73929999999999996</v>
      </c>
      <c r="AW52" s="47">
        <f t="shared" si="29"/>
        <v>7393</v>
      </c>
      <c r="AX52" s="47">
        <f t="shared" si="8"/>
        <v>15.4392</v>
      </c>
      <c r="AY52" s="47"/>
      <c r="AZ52" s="47"/>
      <c r="BA52" s="54">
        <v>1E-4</v>
      </c>
      <c r="BB52" s="55" t="s">
        <v>179</v>
      </c>
      <c r="BC52" s="51">
        <f t="shared" si="30"/>
        <v>21.36</v>
      </c>
      <c r="BD52" s="47">
        <f t="shared" si="33"/>
        <v>15.36</v>
      </c>
      <c r="BE52" s="47">
        <f t="shared" si="31"/>
        <v>0</v>
      </c>
      <c r="BF52" s="47"/>
      <c r="BG52" s="56">
        <v>6</v>
      </c>
      <c r="BH52" s="47"/>
      <c r="BI52" s="51">
        <f t="shared" si="10"/>
        <v>0</v>
      </c>
      <c r="BJ52" s="51">
        <f t="shared" si="11"/>
        <v>0</v>
      </c>
      <c r="BK52" s="47"/>
      <c r="BL52" s="47"/>
      <c r="BM52" s="47"/>
      <c r="BN52" s="47"/>
      <c r="BO52" s="47"/>
      <c r="BP52" s="47"/>
      <c r="BQ52" s="47"/>
      <c r="BR52" s="47"/>
      <c r="BS52" s="53"/>
      <c r="BT52" s="47"/>
      <c r="BU52" s="47"/>
      <c r="BV52" s="47"/>
      <c r="BW52" s="47"/>
      <c r="BX52" s="47">
        <v>38.54</v>
      </c>
      <c r="BY52" s="47"/>
      <c r="BZ52" s="47"/>
      <c r="CA52" s="47"/>
      <c r="CB52" s="54">
        <f t="shared" si="34"/>
        <v>251.66309999999996</v>
      </c>
      <c r="CC52" s="47"/>
      <c r="CD52" s="57"/>
      <c r="CE52" s="47"/>
      <c r="CF52" s="47">
        <f t="shared" si="13"/>
        <v>251.66309999999996</v>
      </c>
    </row>
    <row r="53" spans="1:84" ht="14.25" customHeight="1">
      <c r="A53" s="47">
        <v>46</v>
      </c>
      <c r="B53" s="47" t="s">
        <v>129</v>
      </c>
      <c r="C53" s="48">
        <v>810003</v>
      </c>
      <c r="D53" s="49" t="s">
        <v>180</v>
      </c>
      <c r="E53" s="49" t="s">
        <v>150</v>
      </c>
      <c r="F53" s="50">
        <f t="shared" si="14"/>
        <v>7</v>
      </c>
      <c r="G53" s="50"/>
      <c r="H53" s="50"/>
      <c r="I53" s="50">
        <f>8-1</f>
        <v>7</v>
      </c>
      <c r="J53" s="50"/>
      <c r="K53" s="50"/>
      <c r="L53" s="50"/>
      <c r="M53" s="50"/>
      <c r="N53" s="50">
        <v>4</v>
      </c>
      <c r="O53" s="50">
        <f t="shared" si="15"/>
        <v>11</v>
      </c>
      <c r="P53" s="51">
        <f t="shared" si="0"/>
        <v>96.555299999999988</v>
      </c>
      <c r="Q53" s="51">
        <f t="shared" si="1"/>
        <v>77.007299999999987</v>
      </c>
      <c r="R53" s="47">
        <f t="shared" si="16"/>
        <v>24755</v>
      </c>
      <c r="S53" s="58"/>
      <c r="T53" s="51">
        <v>24755</v>
      </c>
      <c r="U53" s="47">
        <f t="shared" si="17"/>
        <v>29.706</v>
      </c>
      <c r="V53" s="51">
        <f t="shared" si="2"/>
        <v>0</v>
      </c>
      <c r="W53" s="47">
        <f t="shared" si="18"/>
        <v>0</v>
      </c>
      <c r="X53" s="47"/>
      <c r="Y53" s="47"/>
      <c r="Z53" s="47"/>
      <c r="AA53" s="47"/>
      <c r="AB53" s="51">
        <f t="shared" si="19"/>
        <v>8.64</v>
      </c>
      <c r="AC53" s="47">
        <f t="shared" si="20"/>
        <v>0</v>
      </c>
      <c r="AD53" s="47"/>
      <c r="AE53" s="47"/>
      <c r="AF53" s="47">
        <f t="shared" si="21"/>
        <v>8.64</v>
      </c>
      <c r="AG53" s="47">
        <v>7200</v>
      </c>
      <c r="AH53" s="47"/>
      <c r="AI53" s="47">
        <f t="shared" si="22"/>
        <v>18.13</v>
      </c>
      <c r="AJ53" s="53">
        <f t="shared" si="23"/>
        <v>9.0361999999999991</v>
      </c>
      <c r="AK53" s="53">
        <f t="shared" si="24"/>
        <v>90361.999999999985</v>
      </c>
      <c r="AL53" s="47"/>
      <c r="AM53" s="47">
        <f t="shared" si="3"/>
        <v>4.0960999999999999</v>
      </c>
      <c r="AN53" s="47">
        <f t="shared" si="4"/>
        <v>3.8569</v>
      </c>
      <c r="AO53" s="47">
        <f t="shared" si="25"/>
        <v>38569</v>
      </c>
      <c r="AP53" s="47">
        <f t="shared" si="5"/>
        <v>0.2392</v>
      </c>
      <c r="AQ53" s="47">
        <f t="shared" si="26"/>
        <v>2392</v>
      </c>
      <c r="AR53" s="47"/>
      <c r="AS53" s="47">
        <f t="shared" si="27"/>
        <v>0.62190000000000001</v>
      </c>
      <c r="AT53" s="47">
        <f t="shared" si="6"/>
        <v>0.28699999999999998</v>
      </c>
      <c r="AU53" s="47">
        <f t="shared" si="28"/>
        <v>2870</v>
      </c>
      <c r="AV53" s="47">
        <f t="shared" si="7"/>
        <v>0.33489999999999998</v>
      </c>
      <c r="AW53" s="47">
        <f t="shared" si="29"/>
        <v>3348.9999999999995</v>
      </c>
      <c r="AX53" s="47">
        <f t="shared" si="8"/>
        <v>6.7770999999999999</v>
      </c>
      <c r="AY53" s="47"/>
      <c r="AZ53" s="47"/>
      <c r="BA53" s="54">
        <v>1E-4</v>
      </c>
      <c r="BB53" s="55" t="s">
        <v>180</v>
      </c>
      <c r="BC53" s="51">
        <f t="shared" si="30"/>
        <v>18.72</v>
      </c>
      <c r="BD53" s="47">
        <f t="shared" si="33"/>
        <v>6.72</v>
      </c>
      <c r="BE53" s="47">
        <f t="shared" si="31"/>
        <v>0</v>
      </c>
      <c r="BF53" s="47"/>
      <c r="BG53" s="56">
        <v>12</v>
      </c>
      <c r="BH53" s="47"/>
      <c r="BI53" s="51">
        <f t="shared" si="10"/>
        <v>0.82799999999999996</v>
      </c>
      <c r="BJ53" s="51">
        <f t="shared" si="11"/>
        <v>0</v>
      </c>
      <c r="BK53" s="47"/>
      <c r="BL53" s="47"/>
      <c r="BM53" s="47"/>
      <c r="BN53" s="47"/>
      <c r="BO53" s="47"/>
      <c r="BP53" s="47">
        <v>0.82799999999999996</v>
      </c>
      <c r="BQ53" s="47"/>
      <c r="BR53" s="47"/>
      <c r="BS53" s="53"/>
      <c r="BT53" s="47"/>
      <c r="BU53" s="47"/>
      <c r="BV53" s="47"/>
      <c r="BW53" s="47"/>
      <c r="BX53" s="47"/>
      <c r="BY53" s="47"/>
      <c r="BZ53" s="47"/>
      <c r="CA53" s="47"/>
      <c r="CB53" s="54">
        <f t="shared" si="34"/>
        <v>96.555299999999988</v>
      </c>
      <c r="CC53" s="47"/>
      <c r="CD53" s="57"/>
      <c r="CE53" s="47"/>
      <c r="CF53" s="47">
        <f t="shared" si="13"/>
        <v>96.555299999999988</v>
      </c>
    </row>
    <row r="54" spans="1:84" ht="14.25" customHeight="1">
      <c r="A54" s="47">
        <v>47</v>
      </c>
      <c r="B54" s="47" t="s">
        <v>129</v>
      </c>
      <c r="C54" s="48">
        <v>810002</v>
      </c>
      <c r="D54" s="49" t="s">
        <v>181</v>
      </c>
      <c r="E54" s="49" t="s">
        <v>150</v>
      </c>
      <c r="F54" s="50">
        <f t="shared" si="14"/>
        <v>32</v>
      </c>
      <c r="G54" s="50"/>
      <c r="H54" s="50"/>
      <c r="I54" s="50">
        <v>32</v>
      </c>
      <c r="J54" s="50"/>
      <c r="K54" s="50"/>
      <c r="L54" s="50"/>
      <c r="M54" s="50"/>
      <c r="N54" s="50">
        <v>17</v>
      </c>
      <c r="O54" s="50">
        <f t="shared" si="15"/>
        <v>49</v>
      </c>
      <c r="P54" s="51">
        <f t="shared" si="0"/>
        <v>445.17509999999999</v>
      </c>
      <c r="Q54" s="51">
        <f t="shared" si="1"/>
        <v>343.03910000000002</v>
      </c>
      <c r="R54" s="47">
        <f t="shared" si="16"/>
        <v>102637</v>
      </c>
      <c r="S54" s="58"/>
      <c r="T54" s="51">
        <v>102637</v>
      </c>
      <c r="U54" s="47">
        <f t="shared" si="17"/>
        <v>123.1644</v>
      </c>
      <c r="V54" s="51">
        <f t="shared" si="2"/>
        <v>0</v>
      </c>
      <c r="W54" s="47">
        <f t="shared" si="18"/>
        <v>0</v>
      </c>
      <c r="X54" s="47"/>
      <c r="Y54" s="47"/>
      <c r="Z54" s="47"/>
      <c r="AA54" s="47"/>
      <c r="AB54" s="51">
        <f t="shared" si="19"/>
        <v>46.08</v>
      </c>
      <c r="AC54" s="47">
        <f t="shared" si="20"/>
        <v>0</v>
      </c>
      <c r="AD54" s="47"/>
      <c r="AE54" s="47"/>
      <c r="AF54" s="47">
        <f t="shared" si="21"/>
        <v>46.08</v>
      </c>
      <c r="AG54" s="47">
        <v>38400</v>
      </c>
      <c r="AH54" s="47"/>
      <c r="AI54" s="47">
        <f t="shared" si="22"/>
        <v>82.88</v>
      </c>
      <c r="AJ54" s="53">
        <f t="shared" si="23"/>
        <v>40.3399</v>
      </c>
      <c r="AK54" s="53">
        <f t="shared" si="24"/>
        <v>403399</v>
      </c>
      <c r="AL54" s="47"/>
      <c r="AM54" s="47">
        <f t="shared" si="3"/>
        <v>17.641300000000001</v>
      </c>
      <c r="AN54" s="47">
        <f t="shared" si="4"/>
        <v>16.6111</v>
      </c>
      <c r="AO54" s="47">
        <f t="shared" si="25"/>
        <v>166111</v>
      </c>
      <c r="AP54" s="47">
        <f t="shared" si="5"/>
        <v>1.0302</v>
      </c>
      <c r="AQ54" s="47">
        <f t="shared" si="26"/>
        <v>10302</v>
      </c>
      <c r="AR54" s="47"/>
      <c r="AS54" s="47">
        <f t="shared" si="27"/>
        <v>2.6785999999999999</v>
      </c>
      <c r="AT54" s="47">
        <f t="shared" si="6"/>
        <v>1.2363</v>
      </c>
      <c r="AU54" s="47">
        <f t="shared" si="28"/>
        <v>12363</v>
      </c>
      <c r="AV54" s="47">
        <f t="shared" si="7"/>
        <v>1.4422999999999999</v>
      </c>
      <c r="AW54" s="47">
        <f t="shared" si="29"/>
        <v>14423</v>
      </c>
      <c r="AX54" s="47">
        <f t="shared" si="8"/>
        <v>30.254899999999999</v>
      </c>
      <c r="AY54" s="47"/>
      <c r="AZ54" s="47"/>
      <c r="BA54" s="54">
        <v>1E-4</v>
      </c>
      <c r="BB54" s="55" t="s">
        <v>181</v>
      </c>
      <c r="BC54" s="51">
        <f t="shared" si="30"/>
        <v>97.72</v>
      </c>
      <c r="BD54" s="47">
        <f t="shared" si="33"/>
        <v>30.72</v>
      </c>
      <c r="BE54" s="47">
        <f t="shared" si="31"/>
        <v>0</v>
      </c>
      <c r="BF54" s="47"/>
      <c r="BG54" s="56">
        <v>67</v>
      </c>
      <c r="BH54" s="47"/>
      <c r="BI54" s="51">
        <f t="shared" si="10"/>
        <v>4.4160000000000004</v>
      </c>
      <c r="BJ54" s="51">
        <f t="shared" si="11"/>
        <v>0</v>
      </c>
      <c r="BK54" s="47"/>
      <c r="BL54" s="47"/>
      <c r="BM54" s="47"/>
      <c r="BN54" s="47"/>
      <c r="BO54" s="47"/>
      <c r="BP54" s="47">
        <v>4.4160000000000004</v>
      </c>
      <c r="BQ54" s="47"/>
      <c r="BR54" s="47"/>
      <c r="BS54" s="53"/>
      <c r="BT54" s="47"/>
      <c r="BU54" s="47"/>
      <c r="BV54" s="47"/>
      <c r="BW54" s="47"/>
      <c r="BX54" s="47">
        <v>0.85</v>
      </c>
      <c r="BY54" s="47"/>
      <c r="BZ54" s="47"/>
      <c r="CA54" s="47"/>
      <c r="CB54" s="54">
        <f t="shared" si="34"/>
        <v>446.02510000000001</v>
      </c>
      <c r="CC54" s="47"/>
      <c r="CD54" s="57"/>
      <c r="CE54" s="47"/>
      <c r="CF54" s="47">
        <f t="shared" si="13"/>
        <v>446.02510000000001</v>
      </c>
    </row>
    <row r="55" spans="1:84" ht="14.25" customHeight="1">
      <c r="A55" s="47">
        <v>48</v>
      </c>
      <c r="B55" s="47" t="s">
        <v>129</v>
      </c>
      <c r="C55" s="48">
        <v>810006</v>
      </c>
      <c r="D55" s="49" t="s">
        <v>182</v>
      </c>
      <c r="E55" s="49" t="s">
        <v>150</v>
      </c>
      <c r="F55" s="50">
        <f t="shared" si="14"/>
        <v>9</v>
      </c>
      <c r="G55" s="50"/>
      <c r="H55" s="50"/>
      <c r="I55" s="50">
        <f>16-7</f>
        <v>9</v>
      </c>
      <c r="J55" s="50"/>
      <c r="K55" s="50"/>
      <c r="L55" s="50"/>
      <c r="M55" s="50"/>
      <c r="N55" s="50"/>
      <c r="O55" s="50">
        <f t="shared" si="15"/>
        <v>9</v>
      </c>
      <c r="P55" s="51">
        <f t="shared" si="0"/>
        <v>137.47699999999998</v>
      </c>
      <c r="Q55" s="51">
        <f t="shared" si="1"/>
        <v>95.276999999999987</v>
      </c>
      <c r="R55" s="47">
        <f t="shared" si="16"/>
        <v>28161</v>
      </c>
      <c r="S55" s="58"/>
      <c r="T55" s="51">
        <v>28161</v>
      </c>
      <c r="U55" s="47">
        <f t="shared" si="17"/>
        <v>33.793199999999999</v>
      </c>
      <c r="V55" s="51">
        <f t="shared" si="2"/>
        <v>0</v>
      </c>
      <c r="W55" s="47">
        <f t="shared" si="18"/>
        <v>0</v>
      </c>
      <c r="X55" s="47"/>
      <c r="Y55" s="47"/>
      <c r="Z55" s="47"/>
      <c r="AA55" s="47"/>
      <c r="AB55" s="51">
        <f t="shared" si="19"/>
        <v>12.96</v>
      </c>
      <c r="AC55" s="47">
        <f t="shared" si="20"/>
        <v>0</v>
      </c>
      <c r="AD55" s="47"/>
      <c r="AE55" s="47"/>
      <c r="AF55" s="47">
        <f t="shared" si="21"/>
        <v>12.96</v>
      </c>
      <c r="AG55" s="47">
        <v>10800</v>
      </c>
      <c r="AH55" s="47"/>
      <c r="AI55" s="47">
        <f t="shared" si="22"/>
        <v>23.31</v>
      </c>
      <c r="AJ55" s="53">
        <f t="shared" si="23"/>
        <v>11.210100000000001</v>
      </c>
      <c r="AK55" s="53">
        <f t="shared" si="24"/>
        <v>112101</v>
      </c>
      <c r="AL55" s="47"/>
      <c r="AM55" s="47">
        <f t="shared" si="3"/>
        <v>4.8537999999999997</v>
      </c>
      <c r="AN55" s="47">
        <f t="shared" si="4"/>
        <v>4.5682999999999998</v>
      </c>
      <c r="AO55" s="47">
        <f t="shared" si="25"/>
        <v>45683</v>
      </c>
      <c r="AP55" s="47">
        <f t="shared" si="5"/>
        <v>0.28549999999999998</v>
      </c>
      <c r="AQ55" s="47">
        <f t="shared" si="26"/>
        <v>2854.9999999999995</v>
      </c>
      <c r="AR55" s="47"/>
      <c r="AS55" s="47">
        <f t="shared" si="27"/>
        <v>0.74229999999999996</v>
      </c>
      <c r="AT55" s="47">
        <f t="shared" si="6"/>
        <v>0.34260000000000002</v>
      </c>
      <c r="AU55" s="47">
        <f t="shared" si="28"/>
        <v>3426</v>
      </c>
      <c r="AV55" s="47">
        <f t="shared" si="7"/>
        <v>0.3997</v>
      </c>
      <c r="AW55" s="47">
        <f t="shared" si="29"/>
        <v>3997</v>
      </c>
      <c r="AX55" s="47">
        <f t="shared" si="8"/>
        <v>8.4076000000000004</v>
      </c>
      <c r="AY55" s="47"/>
      <c r="AZ55" s="47"/>
      <c r="BA55" s="54">
        <v>1E-4</v>
      </c>
      <c r="BB55" s="55" t="s">
        <v>182</v>
      </c>
      <c r="BC55" s="51">
        <f t="shared" si="30"/>
        <v>34.64</v>
      </c>
      <c r="BD55" s="47">
        <f t="shared" si="33"/>
        <v>8.64</v>
      </c>
      <c r="BE55" s="47">
        <f t="shared" si="31"/>
        <v>0</v>
      </c>
      <c r="BF55" s="47"/>
      <c r="BG55" s="56">
        <v>26</v>
      </c>
      <c r="BH55" s="47"/>
      <c r="BI55" s="51">
        <f t="shared" si="10"/>
        <v>7.56</v>
      </c>
      <c r="BJ55" s="51">
        <f t="shared" si="11"/>
        <v>0</v>
      </c>
      <c r="BK55" s="47"/>
      <c r="BL55" s="47"/>
      <c r="BM55" s="47"/>
      <c r="BN55" s="47"/>
      <c r="BO55" s="47"/>
      <c r="BP55" s="47"/>
      <c r="BQ55" s="47"/>
      <c r="BR55" s="47"/>
      <c r="BS55" s="53"/>
      <c r="BT55" s="47"/>
      <c r="BU55" s="47"/>
      <c r="BV55" s="47"/>
      <c r="BW55" s="47">
        <v>7.56</v>
      </c>
      <c r="BX55" s="47">
        <v>35.5</v>
      </c>
      <c r="BY55" s="47"/>
      <c r="BZ55" s="47"/>
      <c r="CA55" s="47"/>
      <c r="CB55" s="54">
        <f t="shared" si="34"/>
        <v>172.97699999999998</v>
      </c>
      <c r="CC55" s="47"/>
      <c r="CD55" s="57"/>
      <c r="CE55" s="47"/>
      <c r="CF55" s="47">
        <f t="shared" si="13"/>
        <v>172.97699999999998</v>
      </c>
    </row>
    <row r="56" spans="1:84" ht="14.25" customHeight="1">
      <c r="A56" s="47">
        <v>49</v>
      </c>
      <c r="B56" s="47" t="s">
        <v>129</v>
      </c>
      <c r="C56" s="48">
        <v>810008</v>
      </c>
      <c r="D56" s="49" t="s">
        <v>183</v>
      </c>
      <c r="E56" s="49" t="s">
        <v>150</v>
      </c>
      <c r="F56" s="50">
        <f t="shared" si="14"/>
        <v>70</v>
      </c>
      <c r="G56" s="50"/>
      <c r="H56" s="50"/>
      <c r="I56" s="50">
        <f>23+28+7+1+11</f>
        <v>70</v>
      </c>
      <c r="J56" s="50"/>
      <c r="K56" s="50"/>
      <c r="L56" s="50"/>
      <c r="M56" s="50"/>
      <c r="N56" s="50"/>
      <c r="O56" s="50">
        <f t="shared" si="15"/>
        <v>70</v>
      </c>
      <c r="P56" s="51">
        <f t="shared" si="0"/>
        <v>1081.739</v>
      </c>
      <c r="Q56" s="51">
        <f t="shared" si="1"/>
        <v>764.53899999999999</v>
      </c>
      <c r="R56" s="47">
        <f t="shared" si="16"/>
        <v>222484</v>
      </c>
      <c r="S56" s="58"/>
      <c r="T56" s="51">
        <v>222484</v>
      </c>
      <c r="U56" s="47">
        <f t="shared" si="17"/>
        <v>266.98079999999999</v>
      </c>
      <c r="V56" s="51">
        <f t="shared" si="2"/>
        <v>12.48</v>
      </c>
      <c r="W56" s="47">
        <f t="shared" si="18"/>
        <v>0</v>
      </c>
      <c r="X56" s="47">
        <v>12.48</v>
      </c>
      <c r="Y56" s="47"/>
      <c r="Z56" s="47"/>
      <c r="AA56" s="47"/>
      <c r="AB56" s="51">
        <f t="shared" si="19"/>
        <v>106.104</v>
      </c>
      <c r="AC56" s="47">
        <f t="shared" si="20"/>
        <v>0</v>
      </c>
      <c r="AD56" s="47">
        <v>5.3040000000000003</v>
      </c>
      <c r="AE56" s="47"/>
      <c r="AF56" s="47">
        <f t="shared" si="21"/>
        <v>100.8</v>
      </c>
      <c r="AG56" s="47">
        <f>70*1200</f>
        <v>84000</v>
      </c>
      <c r="AH56" s="47"/>
      <c r="AI56" s="47">
        <f t="shared" si="22"/>
        <v>181.3</v>
      </c>
      <c r="AJ56" s="53">
        <f t="shared" si="23"/>
        <v>87.852900000000005</v>
      </c>
      <c r="AK56" s="53">
        <f t="shared" si="24"/>
        <v>878529</v>
      </c>
      <c r="AL56" s="47"/>
      <c r="AM56" s="47">
        <f t="shared" si="3"/>
        <v>38.103900000000003</v>
      </c>
      <c r="AN56" s="47">
        <f t="shared" si="4"/>
        <v>35.862499999999997</v>
      </c>
      <c r="AO56" s="47">
        <f t="shared" si="25"/>
        <v>358625</v>
      </c>
      <c r="AP56" s="47">
        <f t="shared" si="5"/>
        <v>2.2414000000000001</v>
      </c>
      <c r="AQ56" s="47">
        <f t="shared" si="26"/>
        <v>22414</v>
      </c>
      <c r="AR56" s="47"/>
      <c r="AS56" s="47">
        <f t="shared" si="27"/>
        <v>5.8277000000000001</v>
      </c>
      <c r="AT56" s="47">
        <f t="shared" si="6"/>
        <v>2.6897000000000002</v>
      </c>
      <c r="AU56" s="47">
        <f t="shared" si="28"/>
        <v>26897.000000000004</v>
      </c>
      <c r="AV56" s="47">
        <f t="shared" si="7"/>
        <v>3.1379999999999999</v>
      </c>
      <c r="AW56" s="47">
        <f t="shared" si="29"/>
        <v>31380</v>
      </c>
      <c r="AX56" s="47">
        <f t="shared" si="8"/>
        <v>65.889700000000005</v>
      </c>
      <c r="AY56" s="47"/>
      <c r="AZ56" s="47"/>
      <c r="BA56" s="54">
        <v>1E-4</v>
      </c>
      <c r="BB56" s="55" t="s">
        <v>183</v>
      </c>
      <c r="BC56" s="51">
        <f t="shared" si="30"/>
        <v>317.2</v>
      </c>
      <c r="BD56" s="47">
        <f t="shared" si="33"/>
        <v>67.2</v>
      </c>
      <c r="BE56" s="47">
        <f t="shared" si="31"/>
        <v>0</v>
      </c>
      <c r="BF56" s="47"/>
      <c r="BG56" s="56">
        <v>190</v>
      </c>
      <c r="BH56" s="47">
        <v>60</v>
      </c>
      <c r="BI56" s="51">
        <f t="shared" si="10"/>
        <v>0</v>
      </c>
      <c r="BJ56" s="51">
        <f t="shared" si="11"/>
        <v>0</v>
      </c>
      <c r="BK56" s="47"/>
      <c r="BL56" s="47"/>
      <c r="BM56" s="47"/>
      <c r="BN56" s="47"/>
      <c r="BO56" s="47"/>
      <c r="BP56" s="47"/>
      <c r="BQ56" s="47"/>
      <c r="BR56" s="47"/>
      <c r="BS56" s="53"/>
      <c r="BT56" s="47"/>
      <c r="BU56" s="47"/>
      <c r="BV56" s="47"/>
      <c r="BW56" s="47"/>
      <c r="BX56" s="47">
        <v>40</v>
      </c>
      <c r="BY56" s="47"/>
      <c r="BZ56" s="47"/>
      <c r="CA56" s="47"/>
      <c r="CB56" s="54">
        <f t="shared" si="34"/>
        <v>1121.739</v>
      </c>
      <c r="CC56" s="47"/>
      <c r="CD56" s="57"/>
      <c r="CE56" s="47"/>
      <c r="CF56" s="47">
        <f t="shared" si="13"/>
        <v>1121.739</v>
      </c>
    </row>
    <row r="57" spans="1:84" ht="14.25" customHeight="1">
      <c r="A57" s="47">
        <v>50</v>
      </c>
      <c r="B57" s="47" t="s">
        <v>129</v>
      </c>
      <c r="C57" s="48">
        <v>804001</v>
      </c>
      <c r="D57" s="49" t="s">
        <v>184</v>
      </c>
      <c r="E57" s="49" t="s">
        <v>131</v>
      </c>
      <c r="F57" s="50">
        <f t="shared" si="14"/>
        <v>106</v>
      </c>
      <c r="G57" s="50">
        <f>50-15</f>
        <v>35</v>
      </c>
      <c r="H57" s="50">
        <v>1</v>
      </c>
      <c r="I57" s="50">
        <v>38</v>
      </c>
      <c r="J57" s="50">
        <f>34-2</f>
        <v>32</v>
      </c>
      <c r="K57" s="50"/>
      <c r="L57" s="50"/>
      <c r="M57" s="50"/>
      <c r="N57" s="50">
        <v>36</v>
      </c>
      <c r="O57" s="50">
        <f t="shared" si="15"/>
        <v>142</v>
      </c>
      <c r="P57" s="51">
        <f t="shared" si="0"/>
        <v>3263.4852999999998</v>
      </c>
      <c r="Q57" s="51">
        <f t="shared" si="1"/>
        <v>1239.4017000000001</v>
      </c>
      <c r="R57" s="47">
        <f t="shared" si="16"/>
        <v>345939</v>
      </c>
      <c r="S57" s="58">
        <v>140424</v>
      </c>
      <c r="T57" s="51">
        <v>205515</v>
      </c>
      <c r="U57" s="47">
        <f t="shared" si="17"/>
        <v>415.1268</v>
      </c>
      <c r="V57" s="51">
        <f t="shared" si="2"/>
        <v>150.12</v>
      </c>
      <c r="W57" s="47">
        <f t="shared" si="18"/>
        <v>81</v>
      </c>
      <c r="X57" s="47">
        <v>69.12</v>
      </c>
      <c r="Y57" s="47"/>
      <c r="Z57" s="47"/>
      <c r="AA57" s="47"/>
      <c r="AB57" s="51">
        <f t="shared" si="19"/>
        <v>188.55360000000002</v>
      </c>
      <c r="AC57" s="47">
        <f t="shared" si="20"/>
        <v>14.042400000000001</v>
      </c>
      <c r="AD57" s="47">
        <v>11.016</v>
      </c>
      <c r="AE57" s="47"/>
      <c r="AF57" s="47">
        <f t="shared" si="21"/>
        <v>163.49520000000001</v>
      </c>
      <c r="AG57" s="47">
        <v>136246</v>
      </c>
      <c r="AH57" s="47"/>
      <c r="AI57" s="47">
        <f t="shared" si="22"/>
        <v>181.3</v>
      </c>
      <c r="AJ57" s="53">
        <f t="shared" si="23"/>
        <v>136.79429999999999</v>
      </c>
      <c r="AK57" s="53">
        <f t="shared" si="24"/>
        <v>1367943</v>
      </c>
      <c r="AL57" s="47"/>
      <c r="AM57" s="47">
        <f t="shared" si="3"/>
        <v>57.851300000000002</v>
      </c>
      <c r="AN57" s="47">
        <f t="shared" si="4"/>
        <v>54.464100000000002</v>
      </c>
      <c r="AO57" s="47">
        <f t="shared" si="25"/>
        <v>544641</v>
      </c>
      <c r="AP57" s="47">
        <f t="shared" si="5"/>
        <v>3.3871000000000002</v>
      </c>
      <c r="AQ57" s="47">
        <f t="shared" si="26"/>
        <v>33871</v>
      </c>
      <c r="AR57" s="47"/>
      <c r="AS57" s="47">
        <f t="shared" si="27"/>
        <v>7.06</v>
      </c>
      <c r="AT57" s="47">
        <f t="shared" si="6"/>
        <v>4.0646000000000004</v>
      </c>
      <c r="AU57" s="47">
        <f t="shared" si="28"/>
        <v>40646.000000000007</v>
      </c>
      <c r="AV57" s="47">
        <f t="shared" si="7"/>
        <v>2.9954000000000001</v>
      </c>
      <c r="AW57" s="47">
        <f t="shared" si="29"/>
        <v>29954</v>
      </c>
      <c r="AX57" s="47">
        <f t="shared" si="8"/>
        <v>102.59569999999999</v>
      </c>
      <c r="AY57" s="47"/>
      <c r="AZ57" s="47"/>
      <c r="BA57" s="54">
        <v>1E-4</v>
      </c>
      <c r="BB57" s="55" t="s">
        <v>184</v>
      </c>
      <c r="BC57" s="51">
        <f t="shared" si="30"/>
        <v>2019.556</v>
      </c>
      <c r="BD57" s="47">
        <f t="shared" si="33"/>
        <v>110.4</v>
      </c>
      <c r="BE57" s="47">
        <f t="shared" si="31"/>
        <v>27.155999999999999</v>
      </c>
      <c r="BF57" s="47">
        <v>22630</v>
      </c>
      <c r="BG57" s="56">
        <v>600</v>
      </c>
      <c r="BH57" s="47">
        <v>1282</v>
      </c>
      <c r="BI57" s="51">
        <f t="shared" si="10"/>
        <v>4.5275999999999996</v>
      </c>
      <c r="BJ57" s="51">
        <f t="shared" si="11"/>
        <v>0</v>
      </c>
      <c r="BK57" s="47"/>
      <c r="BL57" s="47"/>
      <c r="BM57" s="47"/>
      <c r="BN57" s="47"/>
      <c r="BO57" s="47"/>
      <c r="BP57" s="47">
        <v>4.5275999999999996</v>
      </c>
      <c r="BQ57" s="47"/>
      <c r="BR57" s="47"/>
      <c r="BS57" s="53"/>
      <c r="BT57" s="47"/>
      <c r="BU57" s="47"/>
      <c r="BV57" s="47"/>
      <c r="BW57" s="47"/>
      <c r="BX57" s="47"/>
      <c r="BY57" s="47">
        <v>460</v>
      </c>
      <c r="BZ57" s="47"/>
      <c r="CA57" s="47"/>
      <c r="CB57" s="54">
        <f t="shared" si="34"/>
        <v>3723.4852999999998</v>
      </c>
      <c r="CC57" s="47">
        <v>707</v>
      </c>
      <c r="CD57" s="57"/>
      <c r="CE57" s="47"/>
      <c r="CF57" s="47">
        <f t="shared" si="13"/>
        <v>4430.4853000000003</v>
      </c>
    </row>
    <row r="58" spans="1:84" ht="14.25" customHeight="1">
      <c r="A58" s="47">
        <v>51</v>
      </c>
      <c r="B58" s="47" t="s">
        <v>129</v>
      </c>
      <c r="C58" s="48">
        <v>804002</v>
      </c>
      <c r="D58" s="49" t="s">
        <v>185</v>
      </c>
      <c r="E58" s="49" t="s">
        <v>150</v>
      </c>
      <c r="F58" s="50">
        <f t="shared" si="14"/>
        <v>34</v>
      </c>
      <c r="G58" s="50"/>
      <c r="H58" s="50"/>
      <c r="I58" s="50">
        <v>30</v>
      </c>
      <c r="J58" s="50">
        <v>4</v>
      </c>
      <c r="K58" s="50"/>
      <c r="L58" s="50"/>
      <c r="M58" s="50"/>
      <c r="N58" s="50">
        <v>8</v>
      </c>
      <c r="O58" s="50">
        <f t="shared" si="15"/>
        <v>42</v>
      </c>
      <c r="P58" s="51">
        <f t="shared" si="0"/>
        <v>457.53519999999997</v>
      </c>
      <c r="Q58" s="51">
        <f t="shared" si="1"/>
        <v>354.06720000000001</v>
      </c>
      <c r="R58" s="47">
        <f t="shared" si="16"/>
        <v>102801</v>
      </c>
      <c r="S58" s="58"/>
      <c r="T58" s="51">
        <v>102801</v>
      </c>
      <c r="U58" s="47">
        <f t="shared" si="17"/>
        <v>123.3612</v>
      </c>
      <c r="V58" s="51">
        <f t="shared" si="2"/>
        <v>0</v>
      </c>
      <c r="W58" s="47">
        <f t="shared" si="18"/>
        <v>0</v>
      </c>
      <c r="X58" s="47"/>
      <c r="Y58" s="47"/>
      <c r="Z58" s="47"/>
      <c r="AA58" s="47"/>
      <c r="AB58" s="51">
        <f t="shared" si="19"/>
        <v>48.96</v>
      </c>
      <c r="AC58" s="47">
        <f t="shared" si="20"/>
        <v>0</v>
      </c>
      <c r="AD58" s="47"/>
      <c r="AE58" s="47"/>
      <c r="AF58" s="47">
        <f t="shared" si="21"/>
        <v>48.96</v>
      </c>
      <c r="AG58" s="47">
        <v>40800</v>
      </c>
      <c r="AH58" s="47"/>
      <c r="AI58" s="47">
        <f t="shared" si="22"/>
        <v>88.06</v>
      </c>
      <c r="AJ58" s="53">
        <f t="shared" si="23"/>
        <v>41.661000000000001</v>
      </c>
      <c r="AK58" s="53">
        <f t="shared" si="24"/>
        <v>416610</v>
      </c>
      <c r="AL58" s="47"/>
      <c r="AM58" s="47">
        <f t="shared" si="3"/>
        <v>18.030799999999999</v>
      </c>
      <c r="AN58" s="47">
        <f t="shared" si="4"/>
        <v>16.973700000000001</v>
      </c>
      <c r="AO58" s="47">
        <f t="shared" si="25"/>
        <v>169737</v>
      </c>
      <c r="AP58" s="47">
        <f t="shared" si="5"/>
        <v>1.0570999999999999</v>
      </c>
      <c r="AQ58" s="47">
        <f t="shared" si="26"/>
        <v>10571</v>
      </c>
      <c r="AR58" s="47"/>
      <c r="AS58" s="47">
        <f t="shared" si="27"/>
        <v>2.7484999999999999</v>
      </c>
      <c r="AT58" s="47">
        <f t="shared" si="6"/>
        <v>1.2685</v>
      </c>
      <c r="AU58" s="47">
        <f t="shared" si="28"/>
        <v>12685</v>
      </c>
      <c r="AV58" s="47">
        <f t="shared" si="7"/>
        <v>1.4799</v>
      </c>
      <c r="AW58" s="47">
        <f t="shared" si="29"/>
        <v>14799</v>
      </c>
      <c r="AX58" s="47">
        <f t="shared" si="8"/>
        <v>31.245699999999999</v>
      </c>
      <c r="AY58" s="47"/>
      <c r="AZ58" s="47"/>
      <c r="BA58" s="54">
        <v>1E-4</v>
      </c>
      <c r="BB58" s="55" t="s">
        <v>185</v>
      </c>
      <c r="BC58" s="51">
        <f t="shared" si="30"/>
        <v>102.64</v>
      </c>
      <c r="BD58" s="47">
        <f t="shared" si="33"/>
        <v>32.64</v>
      </c>
      <c r="BE58" s="47">
        <f t="shared" si="31"/>
        <v>0</v>
      </c>
      <c r="BF58" s="47"/>
      <c r="BG58" s="56">
        <v>70</v>
      </c>
      <c r="BH58" s="47"/>
      <c r="BI58" s="51">
        <f t="shared" si="10"/>
        <v>0.82799999999999996</v>
      </c>
      <c r="BJ58" s="51">
        <f t="shared" si="11"/>
        <v>0</v>
      </c>
      <c r="BK58" s="47"/>
      <c r="BL58" s="47"/>
      <c r="BM58" s="47"/>
      <c r="BN58" s="47"/>
      <c r="BO58" s="47"/>
      <c r="BP58" s="47">
        <v>0.82799999999999996</v>
      </c>
      <c r="BQ58" s="47"/>
      <c r="BR58" s="47"/>
      <c r="BS58" s="53"/>
      <c r="BT58" s="47"/>
      <c r="BU58" s="47"/>
      <c r="BV58" s="47"/>
      <c r="BW58" s="47"/>
      <c r="BX58" s="47"/>
      <c r="BY58" s="47"/>
      <c r="BZ58" s="47"/>
      <c r="CA58" s="47"/>
      <c r="CB58" s="54">
        <f t="shared" si="34"/>
        <v>457.53519999999997</v>
      </c>
      <c r="CC58" s="47"/>
      <c r="CD58" s="57"/>
      <c r="CE58" s="47">
        <v>95.4</v>
      </c>
      <c r="CF58" s="47">
        <f t="shared" si="13"/>
        <v>552.93520000000001</v>
      </c>
    </row>
    <row r="59" spans="1:84" ht="14.25" customHeight="1">
      <c r="A59" s="47">
        <v>52</v>
      </c>
      <c r="B59" s="47" t="s">
        <v>129</v>
      </c>
      <c r="C59" s="48">
        <v>804003</v>
      </c>
      <c r="D59" s="49" t="s">
        <v>186</v>
      </c>
      <c r="E59" s="49" t="s">
        <v>150</v>
      </c>
      <c r="F59" s="50">
        <f t="shared" si="14"/>
        <v>10</v>
      </c>
      <c r="G59" s="50"/>
      <c r="H59" s="50"/>
      <c r="I59" s="50">
        <v>10</v>
      </c>
      <c r="J59" s="50"/>
      <c r="K59" s="50"/>
      <c r="L59" s="50"/>
      <c r="M59" s="50"/>
      <c r="N59" s="50"/>
      <c r="O59" s="50">
        <f t="shared" si="15"/>
        <v>10</v>
      </c>
      <c r="P59" s="51">
        <f t="shared" si="0"/>
        <v>122.61189999999999</v>
      </c>
      <c r="Q59" s="51">
        <f t="shared" si="1"/>
        <v>113.0119</v>
      </c>
      <c r="R59" s="47">
        <f t="shared" si="16"/>
        <v>35613</v>
      </c>
      <c r="S59" s="58"/>
      <c r="T59" s="51">
        <v>35613</v>
      </c>
      <c r="U59" s="47">
        <f t="shared" si="17"/>
        <v>42.735599999999998</v>
      </c>
      <c r="V59" s="51">
        <f t="shared" si="2"/>
        <v>0</v>
      </c>
      <c r="W59" s="47">
        <f t="shared" si="18"/>
        <v>0</v>
      </c>
      <c r="X59" s="47"/>
      <c r="Y59" s="47"/>
      <c r="Z59" s="47"/>
      <c r="AA59" s="47"/>
      <c r="AB59" s="51">
        <f t="shared" si="19"/>
        <v>14.4</v>
      </c>
      <c r="AC59" s="47">
        <f t="shared" si="20"/>
        <v>0</v>
      </c>
      <c r="AD59" s="47"/>
      <c r="AE59" s="47"/>
      <c r="AF59" s="47">
        <f t="shared" si="21"/>
        <v>14.4</v>
      </c>
      <c r="AG59" s="47">
        <v>12000</v>
      </c>
      <c r="AH59" s="47"/>
      <c r="AI59" s="47">
        <f t="shared" si="22"/>
        <v>25.9</v>
      </c>
      <c r="AJ59" s="53">
        <f t="shared" si="23"/>
        <v>13.2857</v>
      </c>
      <c r="AK59" s="53">
        <f t="shared" si="24"/>
        <v>132857</v>
      </c>
      <c r="AL59" s="47"/>
      <c r="AM59" s="47">
        <f t="shared" si="3"/>
        <v>5.8339999999999996</v>
      </c>
      <c r="AN59" s="47">
        <f t="shared" si="4"/>
        <v>5.4908000000000001</v>
      </c>
      <c r="AO59" s="47">
        <f t="shared" si="25"/>
        <v>54908</v>
      </c>
      <c r="AP59" s="47">
        <f t="shared" si="5"/>
        <v>0.34320000000000001</v>
      </c>
      <c r="AQ59" s="47">
        <f t="shared" si="26"/>
        <v>3432</v>
      </c>
      <c r="AR59" s="47"/>
      <c r="AS59" s="47">
        <f t="shared" si="27"/>
        <v>0.89229999999999998</v>
      </c>
      <c r="AT59" s="47">
        <f t="shared" si="6"/>
        <v>0.4118</v>
      </c>
      <c r="AU59" s="47">
        <f t="shared" si="28"/>
        <v>4118</v>
      </c>
      <c r="AV59" s="47">
        <f t="shared" si="7"/>
        <v>0.48039999999999999</v>
      </c>
      <c r="AW59" s="47">
        <f t="shared" si="29"/>
        <v>4804</v>
      </c>
      <c r="AX59" s="47">
        <f t="shared" si="8"/>
        <v>9.9642999999999997</v>
      </c>
      <c r="AY59" s="47"/>
      <c r="AZ59" s="47"/>
      <c r="BA59" s="54">
        <v>1E-4</v>
      </c>
      <c r="BB59" s="55" t="s">
        <v>186</v>
      </c>
      <c r="BC59" s="51">
        <f t="shared" si="30"/>
        <v>9.6</v>
      </c>
      <c r="BD59" s="47">
        <f t="shared" si="33"/>
        <v>9.6</v>
      </c>
      <c r="BE59" s="47">
        <f t="shared" si="31"/>
        <v>0</v>
      </c>
      <c r="BF59" s="47"/>
      <c r="BG59" s="56">
        <v>0</v>
      </c>
      <c r="BH59" s="47"/>
      <c r="BI59" s="51">
        <f t="shared" si="10"/>
        <v>0</v>
      </c>
      <c r="BJ59" s="51">
        <f t="shared" si="11"/>
        <v>0</v>
      </c>
      <c r="BK59" s="47"/>
      <c r="BL59" s="47"/>
      <c r="BM59" s="47"/>
      <c r="BN59" s="47"/>
      <c r="BO59" s="47"/>
      <c r="BP59" s="47"/>
      <c r="BQ59" s="47"/>
      <c r="BR59" s="47"/>
      <c r="BS59" s="53"/>
      <c r="BT59" s="47"/>
      <c r="BU59" s="47"/>
      <c r="BV59" s="47"/>
      <c r="BW59" s="47"/>
      <c r="BX59" s="47"/>
      <c r="BY59" s="47"/>
      <c r="BZ59" s="47"/>
      <c r="CA59" s="47"/>
      <c r="CB59" s="54">
        <f t="shared" si="34"/>
        <v>122.61189999999999</v>
      </c>
      <c r="CC59" s="47">
        <v>5900</v>
      </c>
      <c r="CD59" s="57"/>
      <c r="CE59" s="47"/>
      <c r="CF59" s="47">
        <f t="shared" si="13"/>
        <v>6022.6118999999999</v>
      </c>
    </row>
    <row r="60" spans="1:84" ht="14.25" customHeight="1">
      <c r="A60" s="47">
        <v>53</v>
      </c>
      <c r="B60" s="47" t="s">
        <v>129</v>
      </c>
      <c r="C60" s="48">
        <v>804004</v>
      </c>
      <c r="D60" s="49" t="s">
        <v>187</v>
      </c>
      <c r="E60" s="49" t="s">
        <v>150</v>
      </c>
      <c r="F60" s="50">
        <f t="shared" si="14"/>
        <v>32</v>
      </c>
      <c r="G60" s="50"/>
      <c r="H60" s="50"/>
      <c r="I60" s="50">
        <v>32</v>
      </c>
      <c r="J60" s="50"/>
      <c r="K60" s="50"/>
      <c r="L60" s="50"/>
      <c r="M60" s="50"/>
      <c r="N60" s="50"/>
      <c r="O60" s="50">
        <f t="shared" si="15"/>
        <v>32</v>
      </c>
      <c r="P60" s="51">
        <f t="shared" si="0"/>
        <v>607.49720000000002</v>
      </c>
      <c r="Q60" s="51">
        <f t="shared" si="1"/>
        <v>345.77719999999999</v>
      </c>
      <c r="R60" s="47">
        <f t="shared" si="16"/>
        <v>104370</v>
      </c>
      <c r="S60" s="58"/>
      <c r="T60" s="51">
        <v>104370</v>
      </c>
      <c r="U60" s="47">
        <f t="shared" si="17"/>
        <v>125.244</v>
      </c>
      <c r="V60" s="51">
        <f t="shared" si="2"/>
        <v>0</v>
      </c>
      <c r="W60" s="47">
        <f t="shared" si="18"/>
        <v>0</v>
      </c>
      <c r="X60" s="47"/>
      <c r="Y60" s="47"/>
      <c r="Z60" s="47"/>
      <c r="AA60" s="47"/>
      <c r="AB60" s="51">
        <f t="shared" si="19"/>
        <v>46.08</v>
      </c>
      <c r="AC60" s="47">
        <f t="shared" si="20"/>
        <v>0</v>
      </c>
      <c r="AD60" s="47"/>
      <c r="AE60" s="47"/>
      <c r="AF60" s="47">
        <f t="shared" si="21"/>
        <v>46.08</v>
      </c>
      <c r="AG60" s="47">
        <v>38400</v>
      </c>
      <c r="AH60" s="47"/>
      <c r="AI60" s="47">
        <f t="shared" si="22"/>
        <v>82.88</v>
      </c>
      <c r="AJ60" s="53">
        <f t="shared" si="23"/>
        <v>40.672600000000003</v>
      </c>
      <c r="AK60" s="53">
        <f t="shared" si="24"/>
        <v>406726</v>
      </c>
      <c r="AL60" s="47"/>
      <c r="AM60" s="47">
        <f t="shared" si="3"/>
        <v>17.6905</v>
      </c>
      <c r="AN60" s="47">
        <f t="shared" si="4"/>
        <v>16.649899999999999</v>
      </c>
      <c r="AO60" s="47">
        <f t="shared" si="25"/>
        <v>166499</v>
      </c>
      <c r="AP60" s="47">
        <f t="shared" si="5"/>
        <v>1.0406</v>
      </c>
      <c r="AQ60" s="47">
        <f t="shared" si="26"/>
        <v>10406</v>
      </c>
      <c r="AR60" s="47"/>
      <c r="AS60" s="47">
        <f t="shared" si="27"/>
        <v>2.7056</v>
      </c>
      <c r="AT60" s="47">
        <f t="shared" si="6"/>
        <v>1.2486999999999999</v>
      </c>
      <c r="AU60" s="47">
        <f t="shared" si="28"/>
        <v>12487</v>
      </c>
      <c r="AV60" s="47">
        <f t="shared" si="7"/>
        <v>1.4569000000000001</v>
      </c>
      <c r="AW60" s="47">
        <f t="shared" si="29"/>
        <v>14569</v>
      </c>
      <c r="AX60" s="47">
        <f t="shared" si="8"/>
        <v>30.5045</v>
      </c>
      <c r="AY60" s="47"/>
      <c r="AZ60" s="47"/>
      <c r="BA60" s="54">
        <v>1E-4</v>
      </c>
      <c r="BB60" s="55" t="s">
        <v>187</v>
      </c>
      <c r="BC60" s="51">
        <f t="shared" si="30"/>
        <v>261.72000000000003</v>
      </c>
      <c r="BD60" s="47">
        <f t="shared" si="33"/>
        <v>30.72</v>
      </c>
      <c r="BE60" s="47">
        <f t="shared" si="31"/>
        <v>0</v>
      </c>
      <c r="BF60" s="47"/>
      <c r="BG60" s="56">
        <v>165</v>
      </c>
      <c r="BH60" s="47">
        <v>66</v>
      </c>
      <c r="BI60" s="51">
        <f t="shared" si="10"/>
        <v>0</v>
      </c>
      <c r="BJ60" s="51">
        <f t="shared" si="11"/>
        <v>0</v>
      </c>
      <c r="BK60" s="47"/>
      <c r="BL60" s="47"/>
      <c r="BM60" s="47"/>
      <c r="BN60" s="47"/>
      <c r="BO60" s="47"/>
      <c r="BP60" s="47"/>
      <c r="BQ60" s="47"/>
      <c r="BR60" s="47"/>
      <c r="BS60" s="53"/>
      <c r="BT60" s="47"/>
      <c r="BU60" s="47"/>
      <c r="BV60" s="47"/>
      <c r="BW60" s="47"/>
      <c r="BX60" s="47"/>
      <c r="BY60" s="47"/>
      <c r="BZ60" s="47"/>
      <c r="CA60" s="47"/>
      <c r="CB60" s="54">
        <f t="shared" si="34"/>
        <v>607.49720000000002</v>
      </c>
      <c r="CC60" s="47"/>
      <c r="CD60" s="57"/>
      <c r="CE60" s="47"/>
      <c r="CF60" s="47">
        <f t="shared" si="13"/>
        <v>607.49720000000002</v>
      </c>
    </row>
    <row r="61" spans="1:84" ht="14.25" customHeight="1">
      <c r="A61" s="47">
        <v>54</v>
      </c>
      <c r="B61" s="47" t="s">
        <v>129</v>
      </c>
      <c r="C61" s="48">
        <v>804005</v>
      </c>
      <c r="D61" s="49" t="s">
        <v>188</v>
      </c>
      <c r="E61" s="49" t="s">
        <v>141</v>
      </c>
      <c r="F61" s="50">
        <f t="shared" si="14"/>
        <v>17</v>
      </c>
      <c r="G61" s="50">
        <v>15</v>
      </c>
      <c r="H61" s="50"/>
      <c r="I61" s="50"/>
      <c r="J61" s="50">
        <v>2</v>
      </c>
      <c r="K61" s="50"/>
      <c r="L61" s="50"/>
      <c r="M61" s="50"/>
      <c r="N61" s="50"/>
      <c r="O61" s="50">
        <f t="shared" si="15"/>
        <v>17</v>
      </c>
      <c r="P61" s="51">
        <f t="shared" si="0"/>
        <v>535.54240000000004</v>
      </c>
      <c r="Q61" s="51">
        <f t="shared" si="1"/>
        <v>188.70240000000001</v>
      </c>
      <c r="R61" s="47">
        <f t="shared" si="16"/>
        <v>56099</v>
      </c>
      <c r="S61" s="58">
        <v>51312</v>
      </c>
      <c r="T61" s="51">
        <v>4787</v>
      </c>
      <c r="U61" s="47">
        <f t="shared" si="17"/>
        <v>67.318799999999996</v>
      </c>
      <c r="V61" s="51">
        <f t="shared" si="2"/>
        <v>33.75</v>
      </c>
      <c r="W61" s="47">
        <f t="shared" si="18"/>
        <v>33.75</v>
      </c>
      <c r="X61" s="47"/>
      <c r="Y61" s="47"/>
      <c r="Z61" s="47"/>
      <c r="AA61" s="47"/>
      <c r="AB61" s="51">
        <f t="shared" si="19"/>
        <v>33.561599999999999</v>
      </c>
      <c r="AC61" s="47">
        <f t="shared" si="20"/>
        <v>5.1311999999999998</v>
      </c>
      <c r="AD61" s="47"/>
      <c r="AE61" s="47"/>
      <c r="AF61" s="47">
        <f t="shared" si="21"/>
        <v>28.430399999999999</v>
      </c>
      <c r="AG61" s="47">
        <v>23692</v>
      </c>
      <c r="AH61" s="47"/>
      <c r="AI61" s="47">
        <f t="shared" si="22"/>
        <v>5.18</v>
      </c>
      <c r="AJ61" s="53">
        <f t="shared" si="23"/>
        <v>22.369700000000002</v>
      </c>
      <c r="AK61" s="53">
        <f t="shared" si="24"/>
        <v>223697.00000000003</v>
      </c>
      <c r="AL61" s="47"/>
      <c r="AM61" s="47">
        <f t="shared" si="3"/>
        <v>9.0311000000000003</v>
      </c>
      <c r="AN61" s="47">
        <f t="shared" si="4"/>
        <v>8.4999000000000002</v>
      </c>
      <c r="AO61" s="47">
        <f t="shared" si="25"/>
        <v>84999</v>
      </c>
      <c r="AP61" s="47">
        <f t="shared" si="5"/>
        <v>0.53120000000000001</v>
      </c>
      <c r="AQ61" s="47">
        <f t="shared" si="26"/>
        <v>5312</v>
      </c>
      <c r="AR61" s="47"/>
      <c r="AS61" s="47">
        <f t="shared" si="27"/>
        <v>0.71399999999999997</v>
      </c>
      <c r="AT61" s="47">
        <f t="shared" si="6"/>
        <v>0.63749999999999996</v>
      </c>
      <c r="AU61" s="47">
        <f t="shared" si="28"/>
        <v>6375</v>
      </c>
      <c r="AV61" s="47">
        <f t="shared" si="7"/>
        <v>7.6499999999999999E-2</v>
      </c>
      <c r="AW61" s="47">
        <f t="shared" si="29"/>
        <v>765</v>
      </c>
      <c r="AX61" s="47">
        <f t="shared" si="8"/>
        <v>16.777200000000001</v>
      </c>
      <c r="AY61" s="47"/>
      <c r="AZ61" s="47"/>
      <c r="BA61" s="54">
        <v>1E-4</v>
      </c>
      <c r="BB61" s="55" t="s">
        <v>188</v>
      </c>
      <c r="BC61" s="51">
        <f t="shared" si="30"/>
        <v>346.84000000000003</v>
      </c>
      <c r="BD61" s="47">
        <f t="shared" si="33"/>
        <v>19.920000000000002</v>
      </c>
      <c r="BE61" s="47">
        <f t="shared" si="31"/>
        <v>10.92</v>
      </c>
      <c r="BF61" s="47">
        <v>9100</v>
      </c>
      <c r="BG61" s="56">
        <v>16</v>
      </c>
      <c r="BH61" s="47">
        <v>300</v>
      </c>
      <c r="BI61" s="51">
        <f t="shared" si="10"/>
        <v>0</v>
      </c>
      <c r="BJ61" s="51">
        <f t="shared" si="11"/>
        <v>0</v>
      </c>
      <c r="BK61" s="47"/>
      <c r="BL61" s="47"/>
      <c r="BM61" s="47"/>
      <c r="BN61" s="47"/>
      <c r="BO61" s="47"/>
      <c r="BP61" s="47"/>
      <c r="BQ61" s="47"/>
      <c r="BR61" s="47"/>
      <c r="BS61" s="53"/>
      <c r="BT61" s="47"/>
      <c r="BU61" s="47"/>
      <c r="BV61" s="47"/>
      <c r="BW61" s="47"/>
      <c r="BX61" s="47"/>
      <c r="BY61" s="47"/>
      <c r="BZ61" s="47"/>
      <c r="CA61" s="47"/>
      <c r="CB61" s="54">
        <f t="shared" si="34"/>
        <v>535.54240000000004</v>
      </c>
      <c r="CC61" s="47"/>
      <c r="CD61" s="57"/>
      <c r="CE61" s="47"/>
      <c r="CF61" s="47">
        <f t="shared" si="13"/>
        <v>535.54240000000004</v>
      </c>
    </row>
    <row r="62" spans="1:84" ht="14.25" customHeight="1">
      <c r="A62" s="47">
        <v>55</v>
      </c>
      <c r="B62" s="47" t="s">
        <v>129</v>
      </c>
      <c r="C62" s="48">
        <v>804006</v>
      </c>
      <c r="D62" s="49" t="s">
        <v>189</v>
      </c>
      <c r="E62" s="49" t="s">
        <v>150</v>
      </c>
      <c r="F62" s="50">
        <f t="shared" si="14"/>
        <v>21</v>
      </c>
      <c r="G62" s="50"/>
      <c r="H62" s="50"/>
      <c r="I62" s="50">
        <v>7</v>
      </c>
      <c r="J62" s="50">
        <v>14</v>
      </c>
      <c r="K62" s="50"/>
      <c r="L62" s="50"/>
      <c r="M62" s="50"/>
      <c r="N62" s="50">
        <v>4</v>
      </c>
      <c r="O62" s="50">
        <f t="shared" si="15"/>
        <v>25</v>
      </c>
      <c r="P62" s="51">
        <f t="shared" si="0"/>
        <v>233.68769999999998</v>
      </c>
      <c r="Q62" s="51">
        <f t="shared" si="1"/>
        <v>213.52769999999998</v>
      </c>
      <c r="R62" s="47">
        <f t="shared" si="16"/>
        <v>60378</v>
      </c>
      <c r="S62" s="58"/>
      <c r="T62" s="51">
        <v>60378</v>
      </c>
      <c r="U62" s="47">
        <f t="shared" si="17"/>
        <v>72.453599999999994</v>
      </c>
      <c r="V62" s="51">
        <f t="shared" si="2"/>
        <v>0</v>
      </c>
      <c r="W62" s="47">
        <f t="shared" si="18"/>
        <v>0</v>
      </c>
      <c r="X62" s="47"/>
      <c r="Y62" s="47"/>
      <c r="Z62" s="47"/>
      <c r="AA62" s="47"/>
      <c r="AB62" s="51">
        <f t="shared" si="19"/>
        <v>30.24</v>
      </c>
      <c r="AC62" s="47">
        <f t="shared" si="20"/>
        <v>0</v>
      </c>
      <c r="AD62" s="47"/>
      <c r="AE62" s="47"/>
      <c r="AF62" s="47">
        <f t="shared" si="21"/>
        <v>30.24</v>
      </c>
      <c r="AG62" s="47">
        <v>25200</v>
      </c>
      <c r="AH62" s="47"/>
      <c r="AI62" s="47">
        <f t="shared" si="22"/>
        <v>54.39</v>
      </c>
      <c r="AJ62" s="53">
        <f t="shared" si="23"/>
        <v>25.133400000000002</v>
      </c>
      <c r="AK62" s="53">
        <f t="shared" si="24"/>
        <v>251334.00000000003</v>
      </c>
      <c r="AL62" s="47"/>
      <c r="AM62" s="47">
        <f t="shared" si="3"/>
        <v>10.8117</v>
      </c>
      <c r="AN62" s="47">
        <f t="shared" si="4"/>
        <v>10.1775</v>
      </c>
      <c r="AO62" s="47">
        <f t="shared" si="25"/>
        <v>101775</v>
      </c>
      <c r="AP62" s="47">
        <f t="shared" si="5"/>
        <v>0.63419999999999999</v>
      </c>
      <c r="AQ62" s="47">
        <f t="shared" si="26"/>
        <v>6342</v>
      </c>
      <c r="AR62" s="47"/>
      <c r="AS62" s="47">
        <f t="shared" si="27"/>
        <v>1.649</v>
      </c>
      <c r="AT62" s="47">
        <f t="shared" si="6"/>
        <v>0.7611</v>
      </c>
      <c r="AU62" s="47">
        <f t="shared" si="28"/>
        <v>7611</v>
      </c>
      <c r="AV62" s="47">
        <f t="shared" si="7"/>
        <v>0.88790000000000002</v>
      </c>
      <c r="AW62" s="47">
        <f t="shared" si="29"/>
        <v>8879</v>
      </c>
      <c r="AX62" s="47">
        <f t="shared" si="8"/>
        <v>18.850000000000001</v>
      </c>
      <c r="AY62" s="47"/>
      <c r="AZ62" s="47"/>
      <c r="BA62" s="54">
        <v>1E-4</v>
      </c>
      <c r="BB62" s="55" t="s">
        <v>189</v>
      </c>
      <c r="BC62" s="51">
        <f t="shared" si="30"/>
        <v>20.16</v>
      </c>
      <c r="BD62" s="47">
        <f t="shared" si="33"/>
        <v>20.16</v>
      </c>
      <c r="BE62" s="47">
        <f t="shared" si="31"/>
        <v>0</v>
      </c>
      <c r="BF62" s="47"/>
      <c r="BG62" s="56"/>
      <c r="BH62" s="47"/>
      <c r="BI62" s="51">
        <f t="shared" si="10"/>
        <v>0</v>
      </c>
      <c r="BJ62" s="51">
        <f t="shared" si="11"/>
        <v>0</v>
      </c>
      <c r="BK62" s="47"/>
      <c r="BL62" s="47"/>
      <c r="BM62" s="47"/>
      <c r="BN62" s="47"/>
      <c r="BO62" s="47"/>
      <c r="BP62" s="47"/>
      <c r="BQ62" s="47"/>
      <c r="BR62" s="47"/>
      <c r="BS62" s="53"/>
      <c r="BT62" s="47"/>
      <c r="BU62" s="47"/>
      <c r="BV62" s="47"/>
      <c r="BW62" s="47"/>
      <c r="BX62" s="47"/>
      <c r="BY62" s="47"/>
      <c r="BZ62" s="47"/>
      <c r="CA62" s="47"/>
      <c r="CB62" s="54">
        <f t="shared" si="34"/>
        <v>233.68769999999998</v>
      </c>
      <c r="CC62" s="47"/>
      <c r="CD62" s="57"/>
      <c r="CE62" s="47">
        <v>175.5</v>
      </c>
      <c r="CF62" s="47">
        <f t="shared" si="13"/>
        <v>409.18769999999995</v>
      </c>
    </row>
    <row r="63" spans="1:84" ht="14.25" customHeight="1">
      <c r="A63" s="47">
        <v>56</v>
      </c>
      <c r="B63" s="47" t="s">
        <v>129</v>
      </c>
      <c r="C63" s="48">
        <v>804007</v>
      </c>
      <c r="D63" s="49" t="s">
        <v>190</v>
      </c>
      <c r="E63" s="49" t="s">
        <v>150</v>
      </c>
      <c r="F63" s="50">
        <f t="shared" si="14"/>
        <v>14</v>
      </c>
      <c r="G63" s="50"/>
      <c r="H63" s="50"/>
      <c r="I63" s="50">
        <v>14</v>
      </c>
      <c r="J63" s="50"/>
      <c r="K63" s="50"/>
      <c r="L63" s="50"/>
      <c r="M63" s="50"/>
      <c r="N63" s="50">
        <v>1</v>
      </c>
      <c r="O63" s="50">
        <f t="shared" si="15"/>
        <v>15</v>
      </c>
      <c r="P63" s="51">
        <f t="shared" si="0"/>
        <v>163.2884</v>
      </c>
      <c r="Q63" s="51">
        <f t="shared" si="1"/>
        <v>149.8484</v>
      </c>
      <c r="R63" s="47">
        <f t="shared" si="16"/>
        <v>44793</v>
      </c>
      <c r="S63" s="58">
        <v>0</v>
      </c>
      <c r="T63" s="51">
        <v>44793</v>
      </c>
      <c r="U63" s="47">
        <f t="shared" si="17"/>
        <v>53.751600000000003</v>
      </c>
      <c r="V63" s="51">
        <f t="shared" si="2"/>
        <v>0</v>
      </c>
      <c r="W63" s="47">
        <f t="shared" si="18"/>
        <v>0</v>
      </c>
      <c r="X63" s="47"/>
      <c r="Y63" s="47"/>
      <c r="Z63" s="47"/>
      <c r="AA63" s="47"/>
      <c r="AB63" s="51">
        <f t="shared" si="19"/>
        <v>20.16</v>
      </c>
      <c r="AC63" s="47">
        <f t="shared" si="20"/>
        <v>0</v>
      </c>
      <c r="AD63" s="47"/>
      <c r="AE63" s="47"/>
      <c r="AF63" s="47">
        <f t="shared" si="21"/>
        <v>20.16</v>
      </c>
      <c r="AG63" s="47">
        <v>16800</v>
      </c>
      <c r="AH63" s="47"/>
      <c r="AI63" s="47">
        <f t="shared" si="22"/>
        <v>36.26</v>
      </c>
      <c r="AJ63" s="53">
        <f t="shared" si="23"/>
        <v>17.627500000000001</v>
      </c>
      <c r="AK63" s="53">
        <f t="shared" si="24"/>
        <v>176275</v>
      </c>
      <c r="AL63" s="47"/>
      <c r="AM63" s="47">
        <f t="shared" si="3"/>
        <v>7.6585000000000001</v>
      </c>
      <c r="AN63" s="47">
        <f t="shared" si="4"/>
        <v>7.2084000000000001</v>
      </c>
      <c r="AO63" s="47">
        <f t="shared" si="25"/>
        <v>72084</v>
      </c>
      <c r="AP63" s="47">
        <f t="shared" si="5"/>
        <v>0.4501</v>
      </c>
      <c r="AQ63" s="47">
        <f t="shared" si="26"/>
        <v>4501</v>
      </c>
      <c r="AR63" s="47"/>
      <c r="AS63" s="47">
        <f t="shared" si="27"/>
        <v>1.1701999999999999</v>
      </c>
      <c r="AT63" s="47">
        <f t="shared" si="6"/>
        <v>0.54010000000000002</v>
      </c>
      <c r="AU63" s="47">
        <f t="shared" si="28"/>
        <v>5401</v>
      </c>
      <c r="AV63" s="47">
        <f t="shared" si="7"/>
        <v>0.63009999999999999</v>
      </c>
      <c r="AW63" s="47">
        <f t="shared" si="29"/>
        <v>6301</v>
      </c>
      <c r="AX63" s="47">
        <f t="shared" si="8"/>
        <v>13.220599999999999</v>
      </c>
      <c r="AY63" s="47"/>
      <c r="AZ63" s="47"/>
      <c r="BA63" s="54">
        <v>1E-4</v>
      </c>
      <c r="BB63" s="55" t="s">
        <v>190</v>
      </c>
      <c r="BC63" s="51">
        <f t="shared" si="30"/>
        <v>13.44</v>
      </c>
      <c r="BD63" s="47">
        <f t="shared" si="33"/>
        <v>13.44</v>
      </c>
      <c r="BE63" s="47">
        <f t="shared" si="31"/>
        <v>0</v>
      </c>
      <c r="BF63" s="47"/>
      <c r="BG63" s="56"/>
      <c r="BH63" s="47"/>
      <c r="BI63" s="51">
        <f t="shared" si="10"/>
        <v>0</v>
      </c>
      <c r="BJ63" s="51">
        <f t="shared" si="11"/>
        <v>0</v>
      </c>
      <c r="BK63" s="47"/>
      <c r="BL63" s="47"/>
      <c r="BM63" s="47"/>
      <c r="BN63" s="47"/>
      <c r="BO63" s="47"/>
      <c r="BP63" s="47"/>
      <c r="BQ63" s="47"/>
      <c r="BR63" s="47"/>
      <c r="BS63" s="53"/>
      <c r="BT63" s="47"/>
      <c r="BU63" s="47"/>
      <c r="BV63" s="47"/>
      <c r="BW63" s="47"/>
      <c r="BX63" s="47"/>
      <c r="BY63" s="47"/>
      <c r="BZ63" s="47"/>
      <c r="CA63" s="47"/>
      <c r="CB63" s="54">
        <f t="shared" si="34"/>
        <v>163.2884</v>
      </c>
      <c r="CC63" s="47"/>
      <c r="CD63" s="57"/>
      <c r="CE63" s="47"/>
      <c r="CF63" s="47">
        <f t="shared" si="13"/>
        <v>163.2884</v>
      </c>
    </row>
    <row r="64" spans="1:84" ht="14.25" customHeight="1">
      <c r="A64" s="47">
        <v>57</v>
      </c>
      <c r="B64" s="47" t="s">
        <v>129</v>
      </c>
      <c r="C64" s="48">
        <v>805001</v>
      </c>
      <c r="D64" s="49" t="s">
        <v>191</v>
      </c>
      <c r="E64" s="49" t="s">
        <v>141</v>
      </c>
      <c r="F64" s="50">
        <f t="shared" si="14"/>
        <v>14</v>
      </c>
      <c r="G64" s="50">
        <v>11</v>
      </c>
      <c r="H64" s="50">
        <v>3</v>
      </c>
      <c r="I64" s="50"/>
      <c r="J64" s="50"/>
      <c r="K64" s="50"/>
      <c r="L64" s="50"/>
      <c r="M64" s="50">
        <v>1</v>
      </c>
      <c r="N64" s="50">
        <v>30</v>
      </c>
      <c r="O64" s="50">
        <f t="shared" si="15"/>
        <v>45</v>
      </c>
      <c r="P64" s="51">
        <f t="shared" si="0"/>
        <v>298.80379999999997</v>
      </c>
      <c r="Q64" s="51">
        <f t="shared" si="1"/>
        <v>152.75179999999997</v>
      </c>
      <c r="R64" s="47">
        <f t="shared" si="16"/>
        <v>45064</v>
      </c>
      <c r="S64" s="58">
        <v>45064</v>
      </c>
      <c r="T64" s="51"/>
      <c r="U64" s="47">
        <f t="shared" si="17"/>
        <v>54.076799999999999</v>
      </c>
      <c r="V64" s="51">
        <f t="shared" si="2"/>
        <v>31.5</v>
      </c>
      <c r="W64" s="47">
        <f t="shared" si="18"/>
        <v>31.5</v>
      </c>
      <c r="X64" s="47"/>
      <c r="Y64" s="47"/>
      <c r="Z64" s="47"/>
      <c r="AA64" s="47"/>
      <c r="AB64" s="51">
        <f t="shared" si="19"/>
        <v>27.500799999999998</v>
      </c>
      <c r="AC64" s="47">
        <f t="shared" si="20"/>
        <v>4.5064000000000002</v>
      </c>
      <c r="AD64" s="47"/>
      <c r="AE64" s="47"/>
      <c r="AF64" s="47">
        <f t="shared" si="21"/>
        <v>22.994399999999999</v>
      </c>
      <c r="AG64" s="47">
        <v>19162</v>
      </c>
      <c r="AH64" s="47"/>
      <c r="AI64" s="47">
        <f t="shared" si="22"/>
        <v>0</v>
      </c>
      <c r="AJ64" s="53">
        <f t="shared" si="23"/>
        <v>18.092400000000001</v>
      </c>
      <c r="AK64" s="53">
        <f t="shared" si="24"/>
        <v>180924</v>
      </c>
      <c r="AL64" s="47"/>
      <c r="AM64" s="47">
        <f t="shared" si="3"/>
        <v>7.4989999999999997</v>
      </c>
      <c r="AN64" s="47">
        <f t="shared" si="4"/>
        <v>7.0711000000000004</v>
      </c>
      <c r="AO64" s="47">
        <f t="shared" si="25"/>
        <v>70711</v>
      </c>
      <c r="AP64" s="47">
        <f t="shared" si="5"/>
        <v>0.4279</v>
      </c>
      <c r="AQ64" s="47">
        <f t="shared" si="26"/>
        <v>4279</v>
      </c>
      <c r="AR64" s="47"/>
      <c r="AS64" s="47">
        <f t="shared" si="27"/>
        <v>0.51349999999999996</v>
      </c>
      <c r="AT64" s="47">
        <f t="shared" si="6"/>
        <v>0.51349999999999996</v>
      </c>
      <c r="AU64" s="47">
        <f t="shared" si="28"/>
        <v>5135</v>
      </c>
      <c r="AV64" s="47">
        <f t="shared" si="7"/>
        <v>0</v>
      </c>
      <c r="AW64" s="47">
        <f t="shared" si="29"/>
        <v>0</v>
      </c>
      <c r="AX64" s="47">
        <f t="shared" si="8"/>
        <v>13.5693</v>
      </c>
      <c r="AY64" s="47"/>
      <c r="AZ64" s="47"/>
      <c r="BA64" s="54">
        <v>1E-4</v>
      </c>
      <c r="BB64" s="55" t="s">
        <v>191</v>
      </c>
      <c r="BC64" s="51">
        <f t="shared" si="30"/>
        <v>140.4</v>
      </c>
      <c r="BD64" s="47">
        <f t="shared" si="33"/>
        <v>16.8</v>
      </c>
      <c r="BE64" s="47">
        <f t="shared" si="31"/>
        <v>9.6</v>
      </c>
      <c r="BF64" s="47">
        <v>8000</v>
      </c>
      <c r="BG64" s="56">
        <v>114</v>
      </c>
      <c r="BH64" s="47"/>
      <c r="BI64" s="51">
        <f t="shared" si="10"/>
        <v>5.652000000000001</v>
      </c>
      <c r="BJ64" s="51">
        <f t="shared" si="11"/>
        <v>3.24</v>
      </c>
      <c r="BK64" s="47"/>
      <c r="BL64" s="47">
        <v>3.24</v>
      </c>
      <c r="BM64" s="47"/>
      <c r="BN64" s="47"/>
      <c r="BO64" s="47"/>
      <c r="BP64" s="47">
        <f>3.24-0.828</f>
        <v>2.4120000000000004</v>
      </c>
      <c r="BQ64" s="47"/>
      <c r="BR64" s="47"/>
      <c r="BS64" s="53"/>
      <c r="BT64" s="47"/>
      <c r="BU64" s="47"/>
      <c r="BV64" s="47"/>
      <c r="BW64" s="47"/>
      <c r="BX64" s="47">
        <v>20</v>
      </c>
      <c r="BY64" s="47"/>
      <c r="BZ64" s="47"/>
      <c r="CA64" s="47"/>
      <c r="CB64" s="54">
        <f t="shared" si="34"/>
        <v>318.80379999999997</v>
      </c>
      <c r="CC64" s="47"/>
      <c r="CD64" s="57"/>
      <c r="CE64" s="47"/>
      <c r="CF64" s="47">
        <f t="shared" si="13"/>
        <v>318.80379999999997</v>
      </c>
    </row>
    <row r="65" spans="1:84" ht="14.25" customHeight="1">
      <c r="A65" s="47">
        <v>58</v>
      </c>
      <c r="B65" s="47" t="s">
        <v>129</v>
      </c>
      <c r="C65" s="48">
        <v>301001</v>
      </c>
      <c r="D65" s="60" t="s">
        <v>192</v>
      </c>
      <c r="E65" s="60" t="s">
        <v>131</v>
      </c>
      <c r="F65" s="50">
        <f t="shared" si="14"/>
        <v>156</v>
      </c>
      <c r="G65" s="50">
        <v>45</v>
      </c>
      <c r="H65" s="50">
        <v>17</v>
      </c>
      <c r="I65" s="50">
        <f>93+1</f>
        <v>94</v>
      </c>
      <c r="J65" s="50"/>
      <c r="K65" s="50"/>
      <c r="L65" s="50"/>
      <c r="M65" s="50">
        <v>1</v>
      </c>
      <c r="N65" s="50">
        <v>75</v>
      </c>
      <c r="O65" s="50">
        <f t="shared" si="15"/>
        <v>232</v>
      </c>
      <c r="P65" s="51">
        <f t="shared" si="0"/>
        <v>2082.355</v>
      </c>
      <c r="Q65" s="51">
        <f t="shared" si="1"/>
        <v>1821.2450000000003</v>
      </c>
      <c r="R65" s="47">
        <f t="shared" si="16"/>
        <v>485879</v>
      </c>
      <c r="S65" s="61">
        <v>200257</v>
      </c>
      <c r="T65" s="62">
        <v>285622</v>
      </c>
      <c r="U65" s="47">
        <f t="shared" si="17"/>
        <v>583.0548</v>
      </c>
      <c r="V65" s="51">
        <f t="shared" si="2"/>
        <v>273.06</v>
      </c>
      <c r="W65" s="47">
        <f t="shared" si="18"/>
        <v>139.5</v>
      </c>
      <c r="X65" s="63">
        <v>133.56</v>
      </c>
      <c r="Y65" s="47"/>
      <c r="Z65" s="47"/>
      <c r="AA65" s="47"/>
      <c r="AB65" s="51">
        <f t="shared" si="19"/>
        <v>288.25330000000002</v>
      </c>
      <c r="AC65" s="47">
        <f t="shared" si="20"/>
        <v>20.025700000000001</v>
      </c>
      <c r="AD65" s="63">
        <v>36.9696</v>
      </c>
      <c r="AE65" s="47"/>
      <c r="AF65" s="47">
        <f t="shared" si="21"/>
        <v>231.25800000000001</v>
      </c>
      <c r="AG65" s="64">
        <v>192715</v>
      </c>
      <c r="AH65" s="47"/>
      <c r="AI65" s="47">
        <f t="shared" si="22"/>
        <v>243.46</v>
      </c>
      <c r="AJ65" s="53">
        <f t="shared" si="23"/>
        <v>194.76779999999999</v>
      </c>
      <c r="AK65" s="53">
        <f t="shared" si="24"/>
        <v>1947678</v>
      </c>
      <c r="AL65" s="47"/>
      <c r="AM65" s="47">
        <f t="shared" si="3"/>
        <v>82.6738</v>
      </c>
      <c r="AN65" s="47">
        <f t="shared" si="4"/>
        <v>77.843699999999998</v>
      </c>
      <c r="AO65" s="47">
        <f t="shared" si="25"/>
        <v>778437</v>
      </c>
      <c r="AP65" s="47">
        <f t="shared" si="5"/>
        <v>4.8300999999999998</v>
      </c>
      <c r="AQ65" s="47">
        <f t="shared" si="26"/>
        <v>48301</v>
      </c>
      <c r="AR65" s="47"/>
      <c r="AS65" s="47">
        <f t="shared" si="27"/>
        <v>9.8994999999999997</v>
      </c>
      <c r="AT65" s="47">
        <f t="shared" si="6"/>
        <v>5.7961</v>
      </c>
      <c r="AU65" s="47">
        <f t="shared" si="28"/>
        <v>57961</v>
      </c>
      <c r="AV65" s="47">
        <f t="shared" si="7"/>
        <v>4.1033999999999997</v>
      </c>
      <c r="AW65" s="47">
        <f t="shared" si="29"/>
        <v>41034</v>
      </c>
      <c r="AX65" s="47">
        <f t="shared" si="8"/>
        <v>146.07579999999999</v>
      </c>
      <c r="AY65" s="47"/>
      <c r="AZ65" s="47"/>
      <c r="BA65" s="54">
        <v>1E-4</v>
      </c>
      <c r="BB65" s="65" t="s">
        <v>192</v>
      </c>
      <c r="BC65" s="51">
        <f t="shared" si="30"/>
        <v>243.87199999999999</v>
      </c>
      <c r="BD65" s="47">
        <f t="shared" si="33"/>
        <v>164.64</v>
      </c>
      <c r="BE65" s="47">
        <f t="shared" si="31"/>
        <v>44.231999999999999</v>
      </c>
      <c r="BF65" s="47">
        <v>36860</v>
      </c>
      <c r="BG65" s="56"/>
      <c r="BH65" s="47">
        <v>35</v>
      </c>
      <c r="BI65" s="51">
        <f t="shared" si="10"/>
        <v>17.238</v>
      </c>
      <c r="BJ65" s="51">
        <f t="shared" si="11"/>
        <v>3.1259999999999999</v>
      </c>
      <c r="BK65" s="47"/>
      <c r="BL65" s="47">
        <v>3.1259999999999999</v>
      </c>
      <c r="BM65" s="47"/>
      <c r="BN65" s="47"/>
      <c r="BO65" s="47"/>
      <c r="BP65" s="63">
        <v>14.112</v>
      </c>
      <c r="BQ65" s="47"/>
      <c r="BR65" s="47"/>
      <c r="BS65" s="53"/>
      <c r="BT65" s="47"/>
      <c r="BU65" s="47"/>
      <c r="BV65" s="47"/>
      <c r="BW65" s="47"/>
      <c r="BX65" s="47"/>
      <c r="BY65" s="47"/>
      <c r="BZ65" s="47"/>
      <c r="CA65" s="47"/>
      <c r="CB65" s="54">
        <f t="shared" si="34"/>
        <v>2082.355</v>
      </c>
      <c r="CC65" s="47"/>
      <c r="CD65" s="57"/>
      <c r="CE65" s="47"/>
      <c r="CF65" s="47">
        <f t="shared" si="13"/>
        <v>2082.355</v>
      </c>
    </row>
    <row r="66" spans="1:84" ht="14.25" customHeight="1">
      <c r="A66" s="47">
        <v>59</v>
      </c>
      <c r="B66" s="47" t="s">
        <v>129</v>
      </c>
      <c r="C66" s="48">
        <v>302001</v>
      </c>
      <c r="D66" s="60" t="s">
        <v>193</v>
      </c>
      <c r="E66" s="60" t="s">
        <v>131</v>
      </c>
      <c r="F66" s="50">
        <f t="shared" si="14"/>
        <v>121</v>
      </c>
      <c r="G66" s="50">
        <v>41</v>
      </c>
      <c r="H66" s="50">
        <v>10</v>
      </c>
      <c r="I66" s="50">
        <v>54</v>
      </c>
      <c r="J66" s="50">
        <v>16</v>
      </c>
      <c r="K66" s="50"/>
      <c r="L66" s="50"/>
      <c r="M66" s="50"/>
      <c r="N66" s="50">
        <v>39</v>
      </c>
      <c r="O66" s="50">
        <f t="shared" si="15"/>
        <v>160</v>
      </c>
      <c r="P66" s="51">
        <f t="shared" si="0"/>
        <v>1596.2540000000001</v>
      </c>
      <c r="Q66" s="51">
        <f t="shared" si="1"/>
        <v>1393.1780000000001</v>
      </c>
      <c r="R66" s="47">
        <f t="shared" si="16"/>
        <v>373023</v>
      </c>
      <c r="S66" s="61">
        <v>153314</v>
      </c>
      <c r="T66" s="62">
        <v>219709</v>
      </c>
      <c r="U66" s="47">
        <f t="shared" si="17"/>
        <v>447.62759999999997</v>
      </c>
      <c r="V66" s="51">
        <f t="shared" si="2"/>
        <v>212.86199999999999</v>
      </c>
      <c r="W66" s="47">
        <f t="shared" si="18"/>
        <v>114.75</v>
      </c>
      <c r="X66" s="63">
        <v>98.111999999999995</v>
      </c>
      <c r="Y66" s="47"/>
      <c r="Z66" s="47"/>
      <c r="AA66" s="47"/>
      <c r="AB66" s="51">
        <f t="shared" si="19"/>
        <v>218.78659999999999</v>
      </c>
      <c r="AC66" s="47">
        <f t="shared" si="20"/>
        <v>15.3314</v>
      </c>
      <c r="AD66" s="63">
        <v>28.463999999999999</v>
      </c>
      <c r="AE66" s="47"/>
      <c r="AF66" s="47">
        <f t="shared" si="21"/>
        <v>174.99119999999999</v>
      </c>
      <c r="AG66" s="64">
        <v>145826</v>
      </c>
      <c r="AH66" s="47"/>
      <c r="AI66" s="47">
        <f t="shared" si="22"/>
        <v>181.3</v>
      </c>
      <c r="AJ66" s="53">
        <f t="shared" si="23"/>
        <v>149.44</v>
      </c>
      <c r="AK66" s="53">
        <f t="shared" si="24"/>
        <v>1494400</v>
      </c>
      <c r="AL66" s="47"/>
      <c r="AM66" s="47">
        <f t="shared" si="3"/>
        <v>63.505099999999999</v>
      </c>
      <c r="AN66" s="47">
        <f t="shared" si="4"/>
        <v>59.786700000000003</v>
      </c>
      <c r="AO66" s="47">
        <f t="shared" si="25"/>
        <v>597867</v>
      </c>
      <c r="AP66" s="47">
        <f t="shared" si="5"/>
        <v>3.7183999999999999</v>
      </c>
      <c r="AQ66" s="47">
        <f t="shared" si="26"/>
        <v>37184</v>
      </c>
      <c r="AR66" s="47"/>
      <c r="AS66" s="47">
        <f t="shared" si="27"/>
        <v>7.5766999999999998</v>
      </c>
      <c r="AT66" s="47">
        <f t="shared" si="6"/>
        <v>4.4621000000000004</v>
      </c>
      <c r="AU66" s="47">
        <f t="shared" si="28"/>
        <v>44621.000000000007</v>
      </c>
      <c r="AV66" s="47">
        <f t="shared" si="7"/>
        <v>3.1147</v>
      </c>
      <c r="AW66" s="47">
        <f t="shared" si="29"/>
        <v>31147</v>
      </c>
      <c r="AX66" s="47">
        <f t="shared" si="8"/>
        <v>112.08</v>
      </c>
      <c r="AY66" s="47"/>
      <c r="AZ66" s="47"/>
      <c r="BA66" s="54">
        <v>1E-4</v>
      </c>
      <c r="BB66" s="65" t="s">
        <v>193</v>
      </c>
      <c r="BC66" s="51">
        <f t="shared" si="30"/>
        <v>185.07600000000002</v>
      </c>
      <c r="BD66" s="47">
        <f t="shared" si="33"/>
        <v>128.4</v>
      </c>
      <c r="BE66" s="47">
        <f t="shared" si="31"/>
        <v>35.676000000000002</v>
      </c>
      <c r="BF66" s="47">
        <v>29730</v>
      </c>
      <c r="BG66" s="56"/>
      <c r="BH66" s="47">
        <v>21</v>
      </c>
      <c r="BI66" s="51">
        <f t="shared" si="10"/>
        <v>18</v>
      </c>
      <c r="BJ66" s="51">
        <f t="shared" si="11"/>
        <v>0</v>
      </c>
      <c r="BK66" s="47"/>
      <c r="BL66" s="47"/>
      <c r="BM66" s="47"/>
      <c r="BN66" s="47"/>
      <c r="BO66" s="47"/>
      <c r="BP66" s="63">
        <v>18</v>
      </c>
      <c r="BQ66" s="47"/>
      <c r="BR66" s="47"/>
      <c r="BS66" s="53"/>
      <c r="BT66" s="47"/>
      <c r="BU66" s="47"/>
      <c r="BV66" s="47"/>
      <c r="BW66" s="47"/>
      <c r="BX66" s="47"/>
      <c r="BY66" s="47"/>
      <c r="BZ66" s="47"/>
      <c r="CA66" s="47"/>
      <c r="CB66" s="54">
        <f t="shared" si="34"/>
        <v>1596.2540000000001</v>
      </c>
      <c r="CC66" s="47"/>
      <c r="CD66" s="57"/>
      <c r="CE66" s="47"/>
      <c r="CF66" s="47">
        <f t="shared" si="13"/>
        <v>1596.2540000000001</v>
      </c>
    </row>
    <row r="67" spans="1:84" ht="14.25" customHeight="1">
      <c r="A67" s="47">
        <v>60</v>
      </c>
      <c r="B67" s="47" t="s">
        <v>129</v>
      </c>
      <c r="C67" s="48">
        <v>303001</v>
      </c>
      <c r="D67" s="60" t="s">
        <v>194</v>
      </c>
      <c r="E67" s="60" t="s">
        <v>131</v>
      </c>
      <c r="F67" s="50">
        <f t="shared" si="14"/>
        <v>122</v>
      </c>
      <c r="G67" s="50">
        <v>46</v>
      </c>
      <c r="H67" s="50">
        <v>6</v>
      </c>
      <c r="I67" s="50">
        <f>65+5</f>
        <v>70</v>
      </c>
      <c r="J67" s="50"/>
      <c r="K67" s="50"/>
      <c r="L67" s="50"/>
      <c r="M67" s="50"/>
      <c r="N67" s="50">
        <f>36+1</f>
        <v>37</v>
      </c>
      <c r="O67" s="50">
        <f t="shared" si="15"/>
        <v>159</v>
      </c>
      <c r="P67" s="51">
        <f t="shared" si="0"/>
        <v>1587.1528200000002</v>
      </c>
      <c r="Q67" s="51">
        <f t="shared" si="1"/>
        <v>1390.3348200000003</v>
      </c>
      <c r="R67" s="47">
        <f t="shared" si="16"/>
        <v>361914.6</v>
      </c>
      <c r="S67" s="61">
        <v>150272</v>
      </c>
      <c r="T67" s="62">
        <v>211642.6</v>
      </c>
      <c r="U67" s="47">
        <f t="shared" si="17"/>
        <v>434.29752000000002</v>
      </c>
      <c r="V67" s="51">
        <f t="shared" si="2"/>
        <v>213.19200000000001</v>
      </c>
      <c r="W67" s="47">
        <f t="shared" si="18"/>
        <v>117</v>
      </c>
      <c r="X67" s="66">
        <v>96.191999999999993</v>
      </c>
      <c r="Y67" s="47"/>
      <c r="Z67" s="47"/>
      <c r="AA67" s="47"/>
      <c r="AB67" s="51">
        <f t="shared" si="19"/>
        <v>230.26760000000002</v>
      </c>
      <c r="AC67" s="47">
        <f t="shared" si="20"/>
        <v>15.027200000000001</v>
      </c>
      <c r="AD67" s="66">
        <v>29.697600000000001</v>
      </c>
      <c r="AE67" s="47"/>
      <c r="AF67" s="47">
        <f t="shared" si="21"/>
        <v>185.5428</v>
      </c>
      <c r="AG67" s="64">
        <v>154619</v>
      </c>
      <c r="AH67" s="47"/>
      <c r="AI67" s="47">
        <f t="shared" si="22"/>
        <v>181.3</v>
      </c>
      <c r="AJ67" s="53">
        <f t="shared" si="23"/>
        <v>149.30680000000001</v>
      </c>
      <c r="AK67" s="53">
        <f t="shared" si="24"/>
        <v>1493068</v>
      </c>
      <c r="AL67" s="47"/>
      <c r="AM67" s="47">
        <f t="shared" si="3"/>
        <v>62.548299999999998</v>
      </c>
      <c r="AN67" s="47">
        <f t="shared" si="4"/>
        <v>58.885300000000001</v>
      </c>
      <c r="AO67" s="47">
        <f t="shared" si="25"/>
        <v>588853</v>
      </c>
      <c r="AP67" s="47">
        <f t="shared" si="5"/>
        <v>3.6629999999999998</v>
      </c>
      <c r="AQ67" s="47">
        <f t="shared" si="26"/>
        <v>36630</v>
      </c>
      <c r="AR67" s="47"/>
      <c r="AS67" s="47">
        <f t="shared" si="27"/>
        <v>7.4424999999999999</v>
      </c>
      <c r="AT67" s="47">
        <f t="shared" si="6"/>
        <v>4.3956</v>
      </c>
      <c r="AU67" s="47">
        <f t="shared" si="28"/>
        <v>43956</v>
      </c>
      <c r="AV67" s="47">
        <f t="shared" si="7"/>
        <v>3.0468999999999999</v>
      </c>
      <c r="AW67" s="47">
        <f t="shared" si="29"/>
        <v>30469</v>
      </c>
      <c r="AX67" s="47">
        <f t="shared" si="8"/>
        <v>111.98009999999999</v>
      </c>
      <c r="AY67" s="47"/>
      <c r="AZ67" s="47"/>
      <c r="BA67" s="54">
        <v>1E-4</v>
      </c>
      <c r="BB67" s="65" t="s">
        <v>194</v>
      </c>
      <c r="BC67" s="51">
        <f t="shared" si="30"/>
        <v>186.46799999999999</v>
      </c>
      <c r="BD67" s="47">
        <f t="shared" si="33"/>
        <v>129.6</v>
      </c>
      <c r="BE67" s="47">
        <f t="shared" si="31"/>
        <v>35.868000000000002</v>
      </c>
      <c r="BF67" s="47">
        <v>29890</v>
      </c>
      <c r="BG67" s="56"/>
      <c r="BH67" s="47">
        <v>21</v>
      </c>
      <c r="BI67" s="51">
        <f t="shared" si="10"/>
        <v>10.35</v>
      </c>
      <c r="BJ67" s="51">
        <f t="shared" si="11"/>
        <v>0</v>
      </c>
      <c r="BK67" s="47"/>
      <c r="BL67" s="47"/>
      <c r="BM67" s="47"/>
      <c r="BN67" s="47"/>
      <c r="BO67" s="47"/>
      <c r="BP67" s="66">
        <v>10.35</v>
      </c>
      <c r="BQ67" s="47"/>
      <c r="BR67" s="47"/>
      <c r="BS67" s="53"/>
      <c r="BT67" s="47"/>
      <c r="BU67" s="47"/>
      <c r="BV67" s="47"/>
      <c r="BW67" s="47"/>
      <c r="BX67" s="47"/>
      <c r="BY67" s="47"/>
      <c r="BZ67" s="47"/>
      <c r="CA67" s="47"/>
      <c r="CB67" s="54">
        <f t="shared" si="34"/>
        <v>1587.1528200000002</v>
      </c>
      <c r="CC67" s="47"/>
      <c r="CD67" s="57"/>
      <c r="CE67" s="47"/>
      <c r="CF67" s="47">
        <f t="shared" si="13"/>
        <v>1587.1528200000002</v>
      </c>
    </row>
    <row r="68" spans="1:84" ht="14.25" customHeight="1">
      <c r="A68" s="47">
        <v>61</v>
      </c>
      <c r="B68" s="47" t="s">
        <v>129</v>
      </c>
      <c r="C68" s="48">
        <v>304001</v>
      </c>
      <c r="D68" s="60" t="s">
        <v>195</v>
      </c>
      <c r="E68" s="60" t="s">
        <v>131</v>
      </c>
      <c r="F68" s="50">
        <f t="shared" si="14"/>
        <v>108</v>
      </c>
      <c r="G68" s="50">
        <v>44</v>
      </c>
      <c r="H68" s="50"/>
      <c r="I68" s="50">
        <v>64</v>
      </c>
      <c r="J68" s="50"/>
      <c r="K68" s="50"/>
      <c r="L68" s="50"/>
      <c r="M68" s="50"/>
      <c r="N68" s="50">
        <f>52+4+1</f>
        <v>57</v>
      </c>
      <c r="O68" s="50">
        <f t="shared" si="15"/>
        <v>165</v>
      </c>
      <c r="P68" s="51">
        <f t="shared" si="0"/>
        <v>1386.0773999999999</v>
      </c>
      <c r="Q68" s="51">
        <f t="shared" si="1"/>
        <v>1197.7282</v>
      </c>
      <c r="R68" s="47">
        <f t="shared" si="16"/>
        <v>317233</v>
      </c>
      <c r="S68" s="61">
        <v>122228</v>
      </c>
      <c r="T68" s="62">
        <v>195005</v>
      </c>
      <c r="U68" s="47">
        <f t="shared" si="17"/>
        <v>380.67959999999999</v>
      </c>
      <c r="V68" s="51">
        <f t="shared" si="2"/>
        <v>183.91200000000001</v>
      </c>
      <c r="W68" s="47">
        <f t="shared" si="18"/>
        <v>99</v>
      </c>
      <c r="X68" s="66">
        <v>84.912000000000006</v>
      </c>
      <c r="Y68" s="47"/>
      <c r="Z68" s="47"/>
      <c r="AA68" s="47"/>
      <c r="AB68" s="51">
        <f t="shared" si="19"/>
        <v>181.35079999999999</v>
      </c>
      <c r="AC68" s="47">
        <f t="shared" si="20"/>
        <v>12.222799999999999</v>
      </c>
      <c r="AD68" s="66">
        <v>26.558399999999999</v>
      </c>
      <c r="AE68" s="47"/>
      <c r="AF68" s="47">
        <f t="shared" si="21"/>
        <v>142.56960000000001</v>
      </c>
      <c r="AG68" s="64">
        <v>118808</v>
      </c>
      <c r="AH68" s="47"/>
      <c r="AI68" s="47">
        <f t="shared" si="22"/>
        <v>165.76</v>
      </c>
      <c r="AJ68" s="53">
        <f t="shared" si="23"/>
        <v>128.03710000000001</v>
      </c>
      <c r="AK68" s="53">
        <f t="shared" si="24"/>
        <v>1280371</v>
      </c>
      <c r="AL68" s="47"/>
      <c r="AM68" s="47">
        <f t="shared" si="3"/>
        <v>55.289900000000003</v>
      </c>
      <c r="AN68" s="47">
        <f t="shared" si="4"/>
        <v>52.0627</v>
      </c>
      <c r="AO68" s="47">
        <f t="shared" si="25"/>
        <v>520627</v>
      </c>
      <c r="AP68" s="47">
        <f t="shared" si="5"/>
        <v>3.2271999999999998</v>
      </c>
      <c r="AQ68" s="47">
        <f t="shared" si="26"/>
        <v>32272</v>
      </c>
      <c r="AR68" s="47"/>
      <c r="AS68" s="47">
        <f t="shared" si="27"/>
        <v>6.6710000000000003</v>
      </c>
      <c r="AT68" s="47">
        <f t="shared" si="6"/>
        <v>3.8725999999999998</v>
      </c>
      <c r="AU68" s="47">
        <f t="shared" si="28"/>
        <v>38726</v>
      </c>
      <c r="AV68" s="47">
        <f t="shared" si="7"/>
        <v>2.7984</v>
      </c>
      <c r="AW68" s="47">
        <f t="shared" si="29"/>
        <v>27984</v>
      </c>
      <c r="AX68" s="47">
        <f t="shared" si="8"/>
        <v>96.027799999999999</v>
      </c>
      <c r="AY68" s="47"/>
      <c r="AZ68" s="47"/>
      <c r="BA68" s="54">
        <v>1E-4</v>
      </c>
      <c r="BB68" s="65" t="s">
        <v>195</v>
      </c>
      <c r="BC68" s="51">
        <f t="shared" si="30"/>
        <v>179.12</v>
      </c>
      <c r="BD68" s="47">
        <f t="shared" si="33"/>
        <v>114.24</v>
      </c>
      <c r="BE68" s="47">
        <f t="shared" si="31"/>
        <v>29.88</v>
      </c>
      <c r="BF68" s="47">
        <v>24900</v>
      </c>
      <c r="BG68" s="56"/>
      <c r="BH68" s="47">
        <v>35</v>
      </c>
      <c r="BI68" s="51">
        <f t="shared" si="10"/>
        <v>9.2292000000000005</v>
      </c>
      <c r="BJ68" s="51">
        <f t="shared" si="11"/>
        <v>0</v>
      </c>
      <c r="BK68" s="47"/>
      <c r="BL68" s="47"/>
      <c r="BM68" s="47"/>
      <c r="BN68" s="47"/>
      <c r="BO68" s="47"/>
      <c r="BP68" s="66">
        <v>9.2292000000000005</v>
      </c>
      <c r="BQ68" s="47"/>
      <c r="BR68" s="47"/>
      <c r="BS68" s="53"/>
      <c r="BT68" s="47"/>
      <c r="BU68" s="47"/>
      <c r="BV68" s="47"/>
      <c r="BW68" s="47"/>
      <c r="BX68" s="47"/>
      <c r="BY68" s="47"/>
      <c r="BZ68" s="47"/>
      <c r="CA68" s="47"/>
      <c r="CB68" s="54">
        <f t="shared" si="34"/>
        <v>1386.0773999999999</v>
      </c>
      <c r="CC68" s="47"/>
      <c r="CD68" s="57"/>
      <c r="CE68" s="47"/>
      <c r="CF68" s="47">
        <f t="shared" si="13"/>
        <v>1386.0773999999999</v>
      </c>
    </row>
    <row r="69" spans="1:84" ht="14.25" customHeight="1">
      <c r="A69" s="47">
        <v>62</v>
      </c>
      <c r="B69" s="47" t="s">
        <v>129</v>
      </c>
      <c r="C69" s="48">
        <v>305001</v>
      </c>
      <c r="D69" s="60" t="s">
        <v>196</v>
      </c>
      <c r="E69" s="60" t="s">
        <v>131</v>
      </c>
      <c r="F69" s="50">
        <f t="shared" si="14"/>
        <v>81</v>
      </c>
      <c r="G69" s="50">
        <v>29</v>
      </c>
      <c r="H69" s="50">
        <v>8</v>
      </c>
      <c r="I69" s="50">
        <v>44</v>
      </c>
      <c r="J69" s="50"/>
      <c r="K69" s="50"/>
      <c r="L69" s="50"/>
      <c r="M69" s="50"/>
      <c r="N69" s="50">
        <f>17+1</f>
        <v>18</v>
      </c>
      <c r="O69" s="50">
        <f t="shared" si="15"/>
        <v>99</v>
      </c>
      <c r="P69" s="51">
        <f t="shared" si="0"/>
        <v>1051.6222</v>
      </c>
      <c r="Q69" s="51">
        <f t="shared" si="1"/>
        <v>916.35220000000015</v>
      </c>
      <c r="R69" s="47">
        <f t="shared" si="16"/>
        <v>238682</v>
      </c>
      <c r="S69" s="61">
        <v>106801</v>
      </c>
      <c r="T69" s="62">
        <v>131881</v>
      </c>
      <c r="U69" s="47">
        <f t="shared" si="17"/>
        <v>286.41840000000002</v>
      </c>
      <c r="V69" s="51">
        <f t="shared" si="2"/>
        <v>150.32999999999998</v>
      </c>
      <c r="W69" s="47">
        <f t="shared" si="18"/>
        <v>83.25</v>
      </c>
      <c r="X69" s="66">
        <v>67.08</v>
      </c>
      <c r="Y69" s="67"/>
      <c r="Z69" s="47"/>
      <c r="AA69" s="47"/>
      <c r="AB69" s="51">
        <f t="shared" si="19"/>
        <v>148.1173</v>
      </c>
      <c r="AC69" s="47">
        <f t="shared" si="20"/>
        <v>10.680099999999999</v>
      </c>
      <c r="AD69" s="66">
        <v>19.332000000000001</v>
      </c>
      <c r="AE69" s="47"/>
      <c r="AF69" s="47">
        <f t="shared" si="21"/>
        <v>118.1052</v>
      </c>
      <c r="AG69" s="64">
        <v>98421</v>
      </c>
      <c r="AH69" s="47"/>
      <c r="AI69" s="47">
        <f t="shared" si="22"/>
        <v>113.96</v>
      </c>
      <c r="AJ69" s="53">
        <f t="shared" si="23"/>
        <v>97.986199999999997</v>
      </c>
      <c r="AK69" s="53">
        <f t="shared" si="24"/>
        <v>979862</v>
      </c>
      <c r="AL69" s="47"/>
      <c r="AM69" s="47">
        <f t="shared" si="3"/>
        <v>41.243400000000001</v>
      </c>
      <c r="AN69" s="47">
        <f t="shared" si="4"/>
        <v>38.825299999999999</v>
      </c>
      <c r="AO69" s="47">
        <f t="shared" si="25"/>
        <v>388253</v>
      </c>
      <c r="AP69" s="47">
        <f t="shared" si="5"/>
        <v>2.4180999999999999</v>
      </c>
      <c r="AQ69" s="47">
        <f t="shared" si="26"/>
        <v>24181</v>
      </c>
      <c r="AR69" s="47"/>
      <c r="AS69" s="47">
        <f t="shared" si="27"/>
        <v>4.8072999999999997</v>
      </c>
      <c r="AT69" s="47">
        <f t="shared" si="6"/>
        <v>2.9018000000000002</v>
      </c>
      <c r="AU69" s="47">
        <f t="shared" si="28"/>
        <v>29018</v>
      </c>
      <c r="AV69" s="47">
        <f t="shared" si="7"/>
        <v>1.9055</v>
      </c>
      <c r="AW69" s="47">
        <f t="shared" si="29"/>
        <v>19055</v>
      </c>
      <c r="AX69" s="47">
        <f t="shared" si="8"/>
        <v>73.489599999999996</v>
      </c>
      <c r="AY69" s="47"/>
      <c r="AZ69" s="47"/>
      <c r="BA69" s="54">
        <v>1E-4</v>
      </c>
      <c r="BB69" s="65" t="s">
        <v>196</v>
      </c>
      <c r="BC69" s="51">
        <f t="shared" si="30"/>
        <v>132.47999999999999</v>
      </c>
      <c r="BD69" s="47">
        <f t="shared" si="33"/>
        <v>86.639999999999986</v>
      </c>
      <c r="BE69" s="47">
        <f t="shared" si="31"/>
        <v>24.84</v>
      </c>
      <c r="BF69" s="47">
        <v>20700</v>
      </c>
      <c r="BG69" s="56"/>
      <c r="BH69" s="47">
        <v>21</v>
      </c>
      <c r="BI69" s="51">
        <f t="shared" si="10"/>
        <v>2.79</v>
      </c>
      <c r="BJ69" s="51">
        <f t="shared" si="11"/>
        <v>0</v>
      </c>
      <c r="BK69" s="47"/>
      <c r="BL69" s="47"/>
      <c r="BM69" s="47"/>
      <c r="BN69" s="47"/>
      <c r="BO69" s="47"/>
      <c r="BP69" s="66">
        <v>2.79</v>
      </c>
      <c r="BQ69" s="47"/>
      <c r="BR69" s="47"/>
      <c r="BS69" s="53"/>
      <c r="BT69" s="47"/>
      <c r="BU69" s="47"/>
      <c r="BV69" s="47"/>
      <c r="BW69" s="47"/>
      <c r="BX69" s="47"/>
      <c r="BY69" s="47"/>
      <c r="BZ69" s="47"/>
      <c r="CA69" s="47"/>
      <c r="CB69" s="54">
        <f t="shared" si="34"/>
        <v>1051.6222</v>
      </c>
      <c r="CC69" s="47"/>
      <c r="CD69" s="57"/>
      <c r="CE69" s="47"/>
      <c r="CF69" s="47">
        <f t="shared" si="13"/>
        <v>1051.6222</v>
      </c>
    </row>
    <row r="70" spans="1:84" ht="14.25" customHeight="1">
      <c r="A70" s="47">
        <v>63</v>
      </c>
      <c r="B70" s="47" t="s">
        <v>129</v>
      </c>
      <c r="C70" s="48">
        <v>306001</v>
      </c>
      <c r="D70" s="60" t="s">
        <v>197</v>
      </c>
      <c r="E70" s="60" t="s">
        <v>131</v>
      </c>
      <c r="F70" s="50">
        <f t="shared" si="14"/>
        <v>63</v>
      </c>
      <c r="G70" s="50">
        <v>27</v>
      </c>
      <c r="H70" s="50">
        <v>3</v>
      </c>
      <c r="I70" s="50">
        <f>31+2</f>
        <v>33</v>
      </c>
      <c r="J70" s="50"/>
      <c r="K70" s="50"/>
      <c r="L70" s="50"/>
      <c r="M70" s="50"/>
      <c r="N70" s="50">
        <f>12+4</f>
        <v>16</v>
      </c>
      <c r="O70" s="50">
        <f t="shared" si="15"/>
        <v>79</v>
      </c>
      <c r="P70" s="51">
        <f t="shared" si="0"/>
        <v>810.09879999999998</v>
      </c>
      <c r="Q70" s="51">
        <f t="shared" si="1"/>
        <v>699.79079999999999</v>
      </c>
      <c r="R70" s="47">
        <f t="shared" si="16"/>
        <v>178807</v>
      </c>
      <c r="S70" s="61">
        <v>79785</v>
      </c>
      <c r="T70" s="62">
        <v>99022</v>
      </c>
      <c r="U70" s="47">
        <f t="shared" si="17"/>
        <v>214.5684</v>
      </c>
      <c r="V70" s="51">
        <f t="shared" si="2"/>
        <v>117.324</v>
      </c>
      <c r="W70" s="47">
        <f t="shared" si="18"/>
        <v>67.5</v>
      </c>
      <c r="X70" s="66">
        <v>49.823999999999998</v>
      </c>
      <c r="Y70" s="47"/>
      <c r="Z70" s="47"/>
      <c r="AA70" s="47"/>
      <c r="AB70" s="51">
        <f t="shared" si="19"/>
        <v>116.3541</v>
      </c>
      <c r="AC70" s="47">
        <f t="shared" si="20"/>
        <v>7.9785000000000004</v>
      </c>
      <c r="AD70" s="66">
        <v>15.756</v>
      </c>
      <c r="AE70" s="47"/>
      <c r="AF70" s="47">
        <f t="shared" si="21"/>
        <v>92.619600000000005</v>
      </c>
      <c r="AG70" s="64">
        <v>77183</v>
      </c>
      <c r="AH70" s="47"/>
      <c r="AI70" s="47">
        <f t="shared" si="22"/>
        <v>85.47</v>
      </c>
      <c r="AJ70" s="53">
        <f t="shared" si="23"/>
        <v>74.901799999999994</v>
      </c>
      <c r="AK70" s="53">
        <f t="shared" si="24"/>
        <v>749018</v>
      </c>
      <c r="AL70" s="47"/>
      <c r="AM70" s="47">
        <f t="shared" si="3"/>
        <v>31.360800000000001</v>
      </c>
      <c r="AN70" s="47">
        <f t="shared" si="4"/>
        <v>29.523099999999999</v>
      </c>
      <c r="AO70" s="47">
        <f t="shared" si="25"/>
        <v>295231</v>
      </c>
      <c r="AP70" s="47">
        <f t="shared" si="5"/>
        <v>1.8376999999999999</v>
      </c>
      <c r="AQ70" s="47">
        <f t="shared" si="26"/>
        <v>18377</v>
      </c>
      <c r="AR70" s="47"/>
      <c r="AS70" s="47">
        <f t="shared" si="27"/>
        <v>3.6353</v>
      </c>
      <c r="AT70" s="47">
        <f t="shared" si="6"/>
        <v>2.2052</v>
      </c>
      <c r="AU70" s="47">
        <f t="shared" si="28"/>
        <v>22052</v>
      </c>
      <c r="AV70" s="47">
        <f t="shared" si="7"/>
        <v>1.4300999999999999</v>
      </c>
      <c r="AW70" s="47">
        <f t="shared" si="29"/>
        <v>14301</v>
      </c>
      <c r="AX70" s="47">
        <f t="shared" si="8"/>
        <v>56.176400000000001</v>
      </c>
      <c r="AY70" s="47"/>
      <c r="AZ70" s="47"/>
      <c r="BA70" s="54">
        <v>1E-4</v>
      </c>
      <c r="BB70" s="65" t="s">
        <v>197</v>
      </c>
      <c r="BC70" s="51">
        <f t="shared" si="30"/>
        <v>105.34</v>
      </c>
      <c r="BD70" s="47">
        <f t="shared" si="33"/>
        <v>67.680000000000007</v>
      </c>
      <c r="BE70" s="47">
        <f t="shared" si="31"/>
        <v>20.16</v>
      </c>
      <c r="BF70" s="47">
        <v>16800</v>
      </c>
      <c r="BG70" s="56"/>
      <c r="BH70" s="47">
        <v>17.5</v>
      </c>
      <c r="BI70" s="51">
        <f t="shared" si="10"/>
        <v>4.968</v>
      </c>
      <c r="BJ70" s="51">
        <f t="shared" si="11"/>
        <v>0</v>
      </c>
      <c r="BK70" s="47"/>
      <c r="BL70" s="47"/>
      <c r="BM70" s="47"/>
      <c r="BN70" s="47"/>
      <c r="BO70" s="47"/>
      <c r="BP70" s="66">
        <v>4.968</v>
      </c>
      <c r="BQ70" s="47"/>
      <c r="BR70" s="47"/>
      <c r="BS70" s="53"/>
      <c r="BT70" s="47"/>
      <c r="BU70" s="47"/>
      <c r="BV70" s="47"/>
      <c r="BW70" s="47"/>
      <c r="BX70" s="47"/>
      <c r="BY70" s="47"/>
      <c r="BZ70" s="47"/>
      <c r="CA70" s="47"/>
      <c r="CB70" s="54">
        <f t="shared" si="34"/>
        <v>810.09879999999998</v>
      </c>
      <c r="CC70" s="47"/>
      <c r="CD70" s="57"/>
      <c r="CE70" s="47"/>
      <c r="CF70" s="47">
        <f t="shared" si="13"/>
        <v>810.09879999999998</v>
      </c>
    </row>
    <row r="71" spans="1:84" ht="14.25" customHeight="1">
      <c r="A71" s="47">
        <v>64</v>
      </c>
      <c r="B71" s="47" t="s">
        <v>129</v>
      </c>
      <c r="C71" s="48">
        <v>307001</v>
      </c>
      <c r="D71" s="60" t="s">
        <v>198</v>
      </c>
      <c r="E71" s="60" t="s">
        <v>131</v>
      </c>
      <c r="F71" s="50">
        <f t="shared" si="14"/>
        <v>89</v>
      </c>
      <c r="G71" s="50">
        <f>35-4</f>
        <v>31</v>
      </c>
      <c r="H71" s="50">
        <v>8</v>
      </c>
      <c r="I71" s="50">
        <f>51-1</f>
        <v>50</v>
      </c>
      <c r="J71" s="50"/>
      <c r="K71" s="50"/>
      <c r="L71" s="50"/>
      <c r="M71" s="50"/>
      <c r="N71" s="50">
        <v>30</v>
      </c>
      <c r="O71" s="50">
        <f t="shared" si="15"/>
        <v>119</v>
      </c>
      <c r="P71" s="51">
        <f t="shared" si="0"/>
        <v>1167.5253</v>
      </c>
      <c r="Q71" s="51">
        <f t="shared" si="1"/>
        <v>1013.8933000000001</v>
      </c>
      <c r="R71" s="47">
        <f t="shared" si="16"/>
        <v>262753</v>
      </c>
      <c r="S71" s="61">
        <v>109358</v>
      </c>
      <c r="T71" s="62">
        <v>153395</v>
      </c>
      <c r="U71" s="47">
        <f t="shared" si="17"/>
        <v>315.30360000000002</v>
      </c>
      <c r="V71" s="51">
        <f t="shared" si="2"/>
        <v>161.11799999999999</v>
      </c>
      <c r="W71" s="47">
        <f t="shared" si="18"/>
        <v>87.75</v>
      </c>
      <c r="X71" s="66">
        <v>73.367999999999995</v>
      </c>
      <c r="Y71" s="47"/>
      <c r="Z71" s="47"/>
      <c r="AA71" s="47"/>
      <c r="AB71" s="51">
        <f t="shared" si="19"/>
        <v>167.22379999999998</v>
      </c>
      <c r="AC71" s="47">
        <f t="shared" si="20"/>
        <v>10.9358</v>
      </c>
      <c r="AD71" s="66">
        <v>21.686399999999999</v>
      </c>
      <c r="AE71" s="47"/>
      <c r="AF71" s="47">
        <f t="shared" si="21"/>
        <v>134.60159999999999</v>
      </c>
      <c r="AG71" s="64">
        <v>112168</v>
      </c>
      <c r="AH71" s="47"/>
      <c r="AI71" s="47">
        <f t="shared" si="22"/>
        <v>129.5</v>
      </c>
      <c r="AJ71" s="53">
        <f t="shared" si="23"/>
        <v>108.49460000000001</v>
      </c>
      <c r="AK71" s="53">
        <f t="shared" si="24"/>
        <v>1084946</v>
      </c>
      <c r="AL71" s="47"/>
      <c r="AM71" s="47">
        <f t="shared" si="3"/>
        <v>45.492100000000001</v>
      </c>
      <c r="AN71" s="47">
        <f t="shared" si="4"/>
        <v>42.829300000000003</v>
      </c>
      <c r="AO71" s="47">
        <f t="shared" si="25"/>
        <v>428293.00000000006</v>
      </c>
      <c r="AP71" s="47">
        <f t="shared" si="5"/>
        <v>2.6627999999999998</v>
      </c>
      <c r="AQ71" s="47">
        <f t="shared" si="26"/>
        <v>26628</v>
      </c>
      <c r="AR71" s="47"/>
      <c r="AS71" s="47">
        <f t="shared" si="27"/>
        <v>5.3902999999999999</v>
      </c>
      <c r="AT71" s="47">
        <f t="shared" si="6"/>
        <v>3.1953</v>
      </c>
      <c r="AU71" s="47">
        <f t="shared" si="28"/>
        <v>31953</v>
      </c>
      <c r="AV71" s="47">
        <f t="shared" si="7"/>
        <v>2.1949999999999998</v>
      </c>
      <c r="AW71" s="47">
        <f t="shared" si="29"/>
        <v>21950</v>
      </c>
      <c r="AX71" s="47">
        <f t="shared" si="8"/>
        <v>81.370900000000006</v>
      </c>
      <c r="AY71" s="47"/>
      <c r="AZ71" s="47"/>
      <c r="BA71" s="54">
        <v>1E-4</v>
      </c>
      <c r="BB71" s="65" t="s">
        <v>198</v>
      </c>
      <c r="BC71" s="51">
        <f t="shared" si="30"/>
        <v>145.1</v>
      </c>
      <c r="BD71" s="47">
        <f t="shared" si="33"/>
        <v>94.8</v>
      </c>
      <c r="BE71" s="47">
        <f t="shared" si="31"/>
        <v>25.8</v>
      </c>
      <c r="BF71" s="47">
        <v>21500</v>
      </c>
      <c r="BG71" s="56"/>
      <c r="BH71" s="47">
        <v>24.5</v>
      </c>
      <c r="BI71" s="51">
        <f t="shared" si="10"/>
        <v>8.532</v>
      </c>
      <c r="BJ71" s="51">
        <f t="shared" si="11"/>
        <v>0</v>
      </c>
      <c r="BK71" s="47"/>
      <c r="BL71" s="47"/>
      <c r="BM71" s="47"/>
      <c r="BN71" s="47"/>
      <c r="BO71" s="47"/>
      <c r="BP71" s="66">
        <v>8.532</v>
      </c>
      <c r="BQ71" s="47"/>
      <c r="BR71" s="47"/>
      <c r="BS71" s="53"/>
      <c r="BT71" s="47"/>
      <c r="BU71" s="47"/>
      <c r="BV71" s="47"/>
      <c r="BW71" s="47"/>
      <c r="BX71" s="47"/>
      <c r="BY71" s="47"/>
      <c r="BZ71" s="47"/>
      <c r="CA71" s="47"/>
      <c r="CB71" s="54">
        <f t="shared" si="34"/>
        <v>1167.5253</v>
      </c>
      <c r="CC71" s="47"/>
      <c r="CD71" s="57"/>
      <c r="CE71" s="47"/>
      <c r="CF71" s="47">
        <f t="shared" si="13"/>
        <v>1167.5253</v>
      </c>
    </row>
    <row r="72" spans="1:84" ht="14.25" customHeight="1">
      <c r="A72" s="47">
        <v>65</v>
      </c>
      <c r="B72" s="47" t="s">
        <v>129</v>
      </c>
      <c r="C72" s="48">
        <v>308001</v>
      </c>
      <c r="D72" s="60" t="s">
        <v>199</v>
      </c>
      <c r="E72" s="60" t="s">
        <v>131</v>
      </c>
      <c r="F72" s="50">
        <f t="shared" si="14"/>
        <v>103</v>
      </c>
      <c r="G72" s="50">
        <v>36</v>
      </c>
      <c r="H72" s="50">
        <v>3</v>
      </c>
      <c r="I72" s="50">
        <v>64</v>
      </c>
      <c r="J72" s="50"/>
      <c r="K72" s="50"/>
      <c r="L72" s="50"/>
      <c r="M72" s="50"/>
      <c r="N72" s="50">
        <f>29+1</f>
        <v>30</v>
      </c>
      <c r="O72" s="50">
        <f t="shared" si="15"/>
        <v>133</v>
      </c>
      <c r="P72" s="51">
        <f t="shared" ref="P72:P135" si="35">Q72+BC72+BI72</f>
        <v>1321.2266000000002</v>
      </c>
      <c r="Q72" s="51">
        <f t="shared" ref="Q72:Q135" si="36">U72+V72+AB72+AH72+AI72+AJ72+AL72+AM72+AR72+AS72+AX72+AY72+AZ72</f>
        <v>1158.0506</v>
      </c>
      <c r="R72" s="47">
        <f t="shared" si="16"/>
        <v>297174</v>
      </c>
      <c r="S72" s="61">
        <v>103599</v>
      </c>
      <c r="T72" s="62">
        <v>193575</v>
      </c>
      <c r="U72" s="47">
        <f t="shared" si="17"/>
        <v>356.60879999999997</v>
      </c>
      <c r="V72" s="51">
        <f t="shared" si="2"/>
        <v>171.55799999999999</v>
      </c>
      <c r="W72" s="47">
        <f t="shared" si="18"/>
        <v>87.75</v>
      </c>
      <c r="X72" s="66">
        <v>83.808000000000007</v>
      </c>
      <c r="Y72" s="47"/>
      <c r="Z72" s="47"/>
      <c r="AA72" s="47"/>
      <c r="AB72" s="51">
        <f t="shared" si="19"/>
        <v>188.97149999999999</v>
      </c>
      <c r="AC72" s="47">
        <f t="shared" si="20"/>
        <v>10.3599</v>
      </c>
      <c r="AD72" s="66">
        <v>25.447199999999999</v>
      </c>
      <c r="AE72" s="47"/>
      <c r="AF72" s="47">
        <f t="shared" si="21"/>
        <v>153.1644</v>
      </c>
      <c r="AG72" s="64">
        <v>127637</v>
      </c>
      <c r="AH72" s="47"/>
      <c r="AI72" s="47">
        <f t="shared" si="22"/>
        <v>165.76</v>
      </c>
      <c r="AJ72" s="53">
        <f t="shared" si="23"/>
        <v>123.7829</v>
      </c>
      <c r="AK72" s="53">
        <f t="shared" si="24"/>
        <v>1237829</v>
      </c>
      <c r="AL72" s="47"/>
      <c r="AM72" s="47">
        <f t="shared" ref="AM72:AM105" si="37">ROUND(((U72+W72+AI72)*0.085+N72*0.0075),4)</f>
        <v>52.085099999999997</v>
      </c>
      <c r="AN72" s="47">
        <f t="shared" ref="AN72:AN105" si="38">ROUND(((U72+W72+AI72)*0.08+N72*0.0075),4)</f>
        <v>49.034500000000001</v>
      </c>
      <c r="AO72" s="47">
        <f t="shared" si="25"/>
        <v>490345</v>
      </c>
      <c r="AP72" s="47">
        <f t="shared" ref="AP72:AP135" si="39">ROUND(((U72+W72+AI72)*0.005),4)</f>
        <v>3.0506000000000002</v>
      </c>
      <c r="AQ72" s="47">
        <f t="shared" si="26"/>
        <v>30506.000000000004</v>
      </c>
      <c r="AR72" s="47"/>
      <c r="AS72" s="47">
        <f t="shared" si="27"/>
        <v>6.4470999999999998</v>
      </c>
      <c r="AT72" s="47">
        <f t="shared" ref="AT72:AT105" si="40">ROUND(((U72+W72+AI72)*0.006),4)</f>
        <v>3.6606999999999998</v>
      </c>
      <c r="AU72" s="47">
        <f t="shared" si="28"/>
        <v>36607</v>
      </c>
      <c r="AV72" s="47">
        <f t="shared" ref="AV72:AV105" si="41">ROUND(((T72*12/10000+AI72)*0.007),4)</f>
        <v>2.7864</v>
      </c>
      <c r="AW72" s="47">
        <f t="shared" si="29"/>
        <v>27864</v>
      </c>
      <c r="AX72" s="47">
        <f t="shared" ref="AX72:AX112" si="42">ROUND((U72+W72+AC72+AE72+AF72+AI72)*0.12,4)</f>
        <v>92.837199999999996</v>
      </c>
      <c r="AY72" s="47"/>
      <c r="AZ72" s="47"/>
      <c r="BA72" s="54">
        <v>1E-4</v>
      </c>
      <c r="BB72" s="65" t="s">
        <v>199</v>
      </c>
      <c r="BC72" s="51">
        <f t="shared" si="30"/>
        <v>155.4</v>
      </c>
      <c r="BD72" s="47">
        <f t="shared" si="33"/>
        <v>108.24</v>
      </c>
      <c r="BE72" s="47">
        <f t="shared" si="31"/>
        <v>26.16</v>
      </c>
      <c r="BF72" s="47">
        <v>21800</v>
      </c>
      <c r="BG72" s="56"/>
      <c r="BH72" s="47">
        <v>21</v>
      </c>
      <c r="BI72" s="51">
        <f t="shared" ref="BI72:BI135" si="43">BJ72+BN72+BO72+BP72+BQ72+BS72+BT72+BU72+BV72+BW72+BR72</f>
        <v>7.7759999999999998</v>
      </c>
      <c r="BJ72" s="51">
        <f t="shared" ref="BJ72:BJ135" si="44">BL72+BM72+BK72</f>
        <v>0</v>
      </c>
      <c r="BK72" s="47"/>
      <c r="BL72" s="47"/>
      <c r="BM72" s="47"/>
      <c r="BN72" s="47"/>
      <c r="BO72" s="47"/>
      <c r="BP72" s="66">
        <v>7.7759999999999998</v>
      </c>
      <c r="BQ72" s="47"/>
      <c r="BR72" s="47"/>
      <c r="BS72" s="53"/>
      <c r="BT72" s="47"/>
      <c r="BU72" s="47"/>
      <c r="BV72" s="47"/>
      <c r="BW72" s="47"/>
      <c r="BX72" s="47"/>
      <c r="BY72" s="47"/>
      <c r="BZ72" s="47"/>
      <c r="CA72" s="47"/>
      <c r="CB72" s="54">
        <f t="shared" ref="CB72:CB103" si="45">P72+BX72+BZ72+BY72+CA72</f>
        <v>1321.2266000000002</v>
      </c>
      <c r="CC72" s="47"/>
      <c r="CD72" s="57"/>
      <c r="CE72" s="47"/>
      <c r="CF72" s="47">
        <f t="shared" ref="CF72:CF134" si="46">SUM(CB72:CE72)</f>
        <v>1321.2266000000002</v>
      </c>
    </row>
    <row r="73" spans="1:84" ht="14.25" customHeight="1">
      <c r="A73" s="47">
        <v>66</v>
      </c>
      <c r="B73" s="47" t="s">
        <v>129</v>
      </c>
      <c r="C73" s="48">
        <v>309001</v>
      </c>
      <c r="D73" s="60" t="s">
        <v>200</v>
      </c>
      <c r="E73" s="60" t="s">
        <v>131</v>
      </c>
      <c r="F73" s="50">
        <f t="shared" ref="F73:F136" si="47">SUM(G73:K73)</f>
        <v>144</v>
      </c>
      <c r="G73" s="50">
        <v>59</v>
      </c>
      <c r="H73" s="50">
        <v>8</v>
      </c>
      <c r="I73" s="50">
        <v>77</v>
      </c>
      <c r="J73" s="50"/>
      <c r="K73" s="50"/>
      <c r="L73" s="50"/>
      <c r="M73" s="50"/>
      <c r="N73" s="50">
        <v>63</v>
      </c>
      <c r="O73" s="50">
        <f t="shared" ref="O73:O136" si="48">F73+L73+M73+N73</f>
        <v>207</v>
      </c>
      <c r="P73" s="51">
        <f t="shared" si="35"/>
        <v>1874.69192</v>
      </c>
      <c r="Q73" s="51">
        <f t="shared" si="36"/>
        <v>1615.1779200000001</v>
      </c>
      <c r="R73" s="47">
        <f t="shared" ref="R73:R136" si="49">S73+T73</f>
        <v>422867.6</v>
      </c>
      <c r="S73" s="61">
        <v>182874.6</v>
      </c>
      <c r="T73" s="62">
        <v>239993</v>
      </c>
      <c r="U73" s="47">
        <f t="shared" ref="U73:U136" si="50">ROUND(R73*12/10000,5)</f>
        <v>507.44112000000001</v>
      </c>
      <c r="V73" s="51">
        <f t="shared" si="2"/>
        <v>265.06200000000001</v>
      </c>
      <c r="W73" s="47">
        <f t="shared" ref="W73:W136" si="51">ROUND((G73+H73)*2.25,4)</f>
        <v>150.75</v>
      </c>
      <c r="X73" s="66">
        <v>114.312</v>
      </c>
      <c r="Y73" s="47"/>
      <c r="Z73" s="47"/>
      <c r="AA73" s="47"/>
      <c r="AB73" s="51">
        <f t="shared" ref="AB73:AB92" si="52">SUM(AC73:AF73)</f>
        <v>258.65949999999998</v>
      </c>
      <c r="AC73" s="47">
        <f t="shared" ref="AC73:AC136" si="53">ROUND(S73/10000,4)</f>
        <v>18.287500000000001</v>
      </c>
      <c r="AD73" s="66">
        <v>35.361600000000003</v>
      </c>
      <c r="AE73" s="47"/>
      <c r="AF73" s="47">
        <f t="shared" ref="AF73:AF123" si="54">ROUND(AG73*12/10000,4)</f>
        <v>205.0104</v>
      </c>
      <c r="AG73" s="64">
        <v>170842</v>
      </c>
      <c r="AH73" s="47"/>
      <c r="AI73" s="47">
        <f t="shared" ref="AI73:AI136" si="55">ROUND(2.59*(I73+J73+K73),4)</f>
        <v>199.43</v>
      </c>
      <c r="AJ73" s="53">
        <f t="shared" ref="AJ73:AJ121" si="56">ROUND((U73+W73+AC73+AE73+AF73+AI73)*0.16,4)</f>
        <v>172.947</v>
      </c>
      <c r="AK73" s="53">
        <f t="shared" ref="AK73:AK136" si="57">AJ73*10000</f>
        <v>1729470</v>
      </c>
      <c r="AL73" s="47"/>
      <c r="AM73" s="47">
        <f t="shared" si="37"/>
        <v>73.3703</v>
      </c>
      <c r="AN73" s="47">
        <f t="shared" si="38"/>
        <v>69.0822</v>
      </c>
      <c r="AO73" s="47">
        <f t="shared" ref="AO73:AO136" si="58">AN73*10000</f>
        <v>690822</v>
      </c>
      <c r="AP73" s="47">
        <f t="shared" si="39"/>
        <v>4.2881</v>
      </c>
      <c r="AQ73" s="47">
        <f t="shared" ref="AQ73:AQ136" si="59">AP73*10000</f>
        <v>42881</v>
      </c>
      <c r="AR73" s="47"/>
      <c r="AS73" s="47">
        <f t="shared" ref="AS73:AS123" si="60">ROUND(((T73*12/10000+AI73)*0.007+(U73+W73+AI73)*0.006),4)</f>
        <v>8.5577000000000005</v>
      </c>
      <c r="AT73" s="47">
        <f t="shared" si="40"/>
        <v>5.1456999999999997</v>
      </c>
      <c r="AU73" s="47">
        <f t="shared" ref="AU73:AU136" si="61">AT73*10000</f>
        <v>51457</v>
      </c>
      <c r="AV73" s="47">
        <f t="shared" si="41"/>
        <v>3.4119999999999999</v>
      </c>
      <c r="AW73" s="47">
        <f t="shared" ref="AW73:AW136" si="62">AV73*10000</f>
        <v>34120</v>
      </c>
      <c r="AX73" s="47">
        <f t="shared" si="42"/>
        <v>129.71029999999999</v>
      </c>
      <c r="AY73" s="47"/>
      <c r="AZ73" s="47"/>
      <c r="BA73" s="54">
        <v>1E-4</v>
      </c>
      <c r="BB73" s="65" t="s">
        <v>200</v>
      </c>
      <c r="BC73" s="51">
        <f t="shared" ref="BC73:BC136" si="63">BD73+BE73+BG73+BH73</f>
        <v>233.54</v>
      </c>
      <c r="BD73" s="47">
        <f t="shared" si="33"/>
        <v>154.32</v>
      </c>
      <c r="BE73" s="47">
        <f t="shared" ref="BE73:BE136" si="64">ROUND(BF73*12/10000,4)</f>
        <v>44.22</v>
      </c>
      <c r="BF73" s="47">
        <v>36850</v>
      </c>
      <c r="BG73" s="56"/>
      <c r="BH73" s="47">
        <v>35</v>
      </c>
      <c r="BI73" s="51">
        <f t="shared" si="43"/>
        <v>25.974</v>
      </c>
      <c r="BJ73" s="51">
        <f t="shared" si="44"/>
        <v>0</v>
      </c>
      <c r="BK73" s="47"/>
      <c r="BL73" s="47"/>
      <c r="BM73" s="47"/>
      <c r="BN73" s="47"/>
      <c r="BO73" s="47"/>
      <c r="BP73" s="66">
        <v>25.974</v>
      </c>
      <c r="BQ73" s="47"/>
      <c r="BR73" s="47"/>
      <c r="BS73" s="53"/>
      <c r="BT73" s="47"/>
      <c r="BU73" s="47"/>
      <c r="BV73" s="47"/>
      <c r="BW73" s="47"/>
      <c r="BX73" s="47"/>
      <c r="BY73" s="47"/>
      <c r="BZ73" s="47"/>
      <c r="CA73" s="47"/>
      <c r="CB73" s="54">
        <f t="shared" si="45"/>
        <v>1874.69192</v>
      </c>
      <c r="CC73" s="47"/>
      <c r="CD73" s="57"/>
      <c r="CE73" s="47"/>
      <c r="CF73" s="47">
        <f t="shared" si="46"/>
        <v>1874.69192</v>
      </c>
    </row>
    <row r="74" spans="1:84" ht="14.25" customHeight="1">
      <c r="A74" s="47">
        <v>67</v>
      </c>
      <c r="B74" s="47" t="s">
        <v>129</v>
      </c>
      <c r="C74" s="48">
        <v>310001</v>
      </c>
      <c r="D74" s="60" t="s">
        <v>201</v>
      </c>
      <c r="E74" s="60" t="s">
        <v>131</v>
      </c>
      <c r="F74" s="50">
        <f t="shared" si="47"/>
        <v>94</v>
      </c>
      <c r="G74" s="50">
        <v>34</v>
      </c>
      <c r="H74" s="50">
        <v>4</v>
      </c>
      <c r="I74" s="50">
        <v>56</v>
      </c>
      <c r="J74" s="50"/>
      <c r="K74" s="50"/>
      <c r="L74" s="50"/>
      <c r="M74" s="50">
        <v>1</v>
      </c>
      <c r="N74" s="50">
        <f>11+1</f>
        <v>12</v>
      </c>
      <c r="O74" s="50">
        <f t="shared" si="48"/>
        <v>107</v>
      </c>
      <c r="P74" s="51">
        <f t="shared" si="35"/>
        <v>1221.4352000000001</v>
      </c>
      <c r="Q74" s="51">
        <f t="shared" si="36"/>
        <v>1063.8572000000001</v>
      </c>
      <c r="R74" s="47">
        <f t="shared" si="49"/>
        <v>271976</v>
      </c>
      <c r="S74" s="61">
        <v>107754</v>
      </c>
      <c r="T74" s="62">
        <v>164222</v>
      </c>
      <c r="U74" s="47">
        <f t="shared" si="50"/>
        <v>326.37119999999999</v>
      </c>
      <c r="V74" s="51">
        <f t="shared" si="2"/>
        <v>164.124</v>
      </c>
      <c r="W74" s="47">
        <f t="shared" si="51"/>
        <v>85.5</v>
      </c>
      <c r="X74" s="66">
        <v>78.623999999999995</v>
      </c>
      <c r="Y74" s="47"/>
      <c r="Z74" s="47"/>
      <c r="AA74" s="47"/>
      <c r="AB74" s="51">
        <f t="shared" si="52"/>
        <v>176.37420000000003</v>
      </c>
      <c r="AC74" s="47">
        <f t="shared" si="53"/>
        <v>10.775399999999999</v>
      </c>
      <c r="AD74" s="66">
        <v>23.342400000000001</v>
      </c>
      <c r="AE74" s="47"/>
      <c r="AF74" s="47">
        <f t="shared" si="54"/>
        <v>142.25640000000001</v>
      </c>
      <c r="AG74" s="64">
        <v>118547</v>
      </c>
      <c r="AH74" s="47"/>
      <c r="AI74" s="47">
        <f t="shared" si="55"/>
        <v>145.04</v>
      </c>
      <c r="AJ74" s="53">
        <f t="shared" si="56"/>
        <v>113.5909</v>
      </c>
      <c r="AK74" s="53">
        <f t="shared" si="57"/>
        <v>1135909</v>
      </c>
      <c r="AL74" s="47"/>
      <c r="AM74" s="47">
        <f t="shared" si="37"/>
        <v>47.427500000000002</v>
      </c>
      <c r="AN74" s="47">
        <f t="shared" si="38"/>
        <v>44.642899999999997</v>
      </c>
      <c r="AO74" s="47">
        <f t="shared" si="58"/>
        <v>446429</v>
      </c>
      <c r="AP74" s="47">
        <f t="shared" si="39"/>
        <v>2.7846000000000002</v>
      </c>
      <c r="AQ74" s="47">
        <f t="shared" si="59"/>
        <v>27846.000000000004</v>
      </c>
      <c r="AR74" s="47"/>
      <c r="AS74" s="47">
        <f t="shared" si="60"/>
        <v>5.7362000000000002</v>
      </c>
      <c r="AT74" s="47">
        <f t="shared" si="40"/>
        <v>3.3414999999999999</v>
      </c>
      <c r="AU74" s="47">
        <f t="shared" si="61"/>
        <v>33415</v>
      </c>
      <c r="AV74" s="47">
        <f t="shared" si="41"/>
        <v>2.3946999999999998</v>
      </c>
      <c r="AW74" s="47">
        <f t="shared" si="62"/>
        <v>23947</v>
      </c>
      <c r="AX74" s="47">
        <f t="shared" si="42"/>
        <v>85.193200000000004</v>
      </c>
      <c r="AY74" s="47"/>
      <c r="AZ74" s="47"/>
      <c r="BA74" s="54">
        <v>1E-4</v>
      </c>
      <c r="BB74" s="65" t="s">
        <v>201</v>
      </c>
      <c r="BC74" s="51">
        <f t="shared" si="63"/>
        <v>146.1</v>
      </c>
      <c r="BD74" s="47">
        <f t="shared" si="33"/>
        <v>99.36</v>
      </c>
      <c r="BE74" s="47">
        <f t="shared" si="64"/>
        <v>25.74</v>
      </c>
      <c r="BF74" s="47">
        <v>21450</v>
      </c>
      <c r="BG74" s="56"/>
      <c r="BH74" s="47">
        <v>21</v>
      </c>
      <c r="BI74" s="51">
        <f t="shared" si="43"/>
        <v>11.478</v>
      </c>
      <c r="BJ74" s="51">
        <f t="shared" si="44"/>
        <v>4.3860000000000001</v>
      </c>
      <c r="BK74" s="47"/>
      <c r="BL74" s="47">
        <v>4.3860000000000001</v>
      </c>
      <c r="BM74" s="47"/>
      <c r="BN74" s="47"/>
      <c r="BO74" s="47"/>
      <c r="BP74" s="66">
        <v>7.0919999999999996</v>
      </c>
      <c r="BQ74" s="47"/>
      <c r="BR74" s="47"/>
      <c r="BS74" s="53"/>
      <c r="BT74" s="47"/>
      <c r="BU74" s="47"/>
      <c r="BV74" s="47"/>
      <c r="BW74" s="47"/>
      <c r="BX74" s="47"/>
      <c r="BY74" s="47"/>
      <c r="BZ74" s="47"/>
      <c r="CA74" s="47"/>
      <c r="CB74" s="54">
        <f t="shared" si="45"/>
        <v>1221.4352000000001</v>
      </c>
      <c r="CC74" s="47"/>
      <c r="CD74" s="57"/>
      <c r="CE74" s="47"/>
      <c r="CF74" s="47">
        <f t="shared" si="46"/>
        <v>1221.4352000000001</v>
      </c>
    </row>
    <row r="75" spans="1:84" ht="14.25" customHeight="1">
      <c r="A75" s="47">
        <v>68</v>
      </c>
      <c r="B75" s="47" t="s">
        <v>129</v>
      </c>
      <c r="C75" s="48">
        <v>311001</v>
      </c>
      <c r="D75" s="60" t="s">
        <v>202</v>
      </c>
      <c r="E75" s="60" t="s">
        <v>131</v>
      </c>
      <c r="F75" s="50">
        <f t="shared" si="47"/>
        <v>116</v>
      </c>
      <c r="G75" s="50">
        <v>40</v>
      </c>
      <c r="H75" s="50">
        <v>8</v>
      </c>
      <c r="I75" s="50">
        <v>68</v>
      </c>
      <c r="J75" s="50"/>
      <c r="K75" s="50"/>
      <c r="L75" s="50"/>
      <c r="M75" s="50"/>
      <c r="N75" s="50">
        <v>47</v>
      </c>
      <c r="O75" s="50">
        <f t="shared" si="48"/>
        <v>163</v>
      </c>
      <c r="P75" s="51">
        <f t="shared" si="35"/>
        <v>1506.9688000000003</v>
      </c>
      <c r="Q75" s="51">
        <f t="shared" si="36"/>
        <v>1298.2448000000002</v>
      </c>
      <c r="R75" s="47">
        <f t="shared" si="49"/>
        <v>349173</v>
      </c>
      <c r="S75" s="61">
        <v>140050</v>
      </c>
      <c r="T75" s="62">
        <v>209123</v>
      </c>
      <c r="U75" s="47">
        <f t="shared" si="50"/>
        <v>419.00760000000002</v>
      </c>
      <c r="V75" s="51">
        <f t="shared" si="2"/>
        <v>206.49599999999998</v>
      </c>
      <c r="W75" s="47">
        <f t="shared" si="51"/>
        <v>108</v>
      </c>
      <c r="X75" s="66">
        <v>98.495999999999995</v>
      </c>
      <c r="Y75" s="47"/>
      <c r="Z75" s="47"/>
      <c r="AA75" s="47"/>
      <c r="AB75" s="51">
        <f t="shared" si="52"/>
        <v>187.72300000000001</v>
      </c>
      <c r="AC75" s="47">
        <f t="shared" si="53"/>
        <v>14.005000000000001</v>
      </c>
      <c r="AD75" s="66">
        <v>28.0944</v>
      </c>
      <c r="AE75" s="47"/>
      <c r="AF75" s="47">
        <f t="shared" si="54"/>
        <v>145.62360000000001</v>
      </c>
      <c r="AG75" s="64">
        <v>121353</v>
      </c>
      <c r="AH75" s="47"/>
      <c r="AI75" s="47">
        <f t="shared" si="55"/>
        <v>176.12</v>
      </c>
      <c r="AJ75" s="53">
        <f t="shared" si="56"/>
        <v>138.041</v>
      </c>
      <c r="AK75" s="53">
        <f t="shared" si="57"/>
        <v>1380410</v>
      </c>
      <c r="AL75" s="47"/>
      <c r="AM75" s="47">
        <f t="shared" si="37"/>
        <v>60.118299999999998</v>
      </c>
      <c r="AN75" s="47">
        <f t="shared" si="38"/>
        <v>56.602699999999999</v>
      </c>
      <c r="AO75" s="47">
        <f t="shared" si="58"/>
        <v>566027</v>
      </c>
      <c r="AP75" s="47">
        <f t="shared" si="39"/>
        <v>3.5156000000000001</v>
      </c>
      <c r="AQ75" s="47">
        <f t="shared" si="59"/>
        <v>35156</v>
      </c>
      <c r="AR75" s="47"/>
      <c r="AS75" s="47">
        <f t="shared" si="60"/>
        <v>7.2081999999999997</v>
      </c>
      <c r="AT75" s="47">
        <f t="shared" si="40"/>
        <v>4.2187999999999999</v>
      </c>
      <c r="AU75" s="47">
        <f t="shared" si="61"/>
        <v>42188</v>
      </c>
      <c r="AV75" s="47">
        <f t="shared" si="41"/>
        <v>2.9895</v>
      </c>
      <c r="AW75" s="47">
        <f t="shared" si="62"/>
        <v>29895</v>
      </c>
      <c r="AX75" s="47">
        <f t="shared" si="42"/>
        <v>103.5307</v>
      </c>
      <c r="AY75" s="47"/>
      <c r="AZ75" s="47"/>
      <c r="BA75" s="54">
        <v>1E-4</v>
      </c>
      <c r="BB75" s="65" t="s">
        <v>202</v>
      </c>
      <c r="BC75" s="51">
        <f t="shared" si="63"/>
        <v>189.68</v>
      </c>
      <c r="BD75" s="47">
        <f t="shared" si="33"/>
        <v>122.88</v>
      </c>
      <c r="BE75" s="47">
        <f t="shared" si="64"/>
        <v>31.8</v>
      </c>
      <c r="BF75" s="47">
        <v>26500</v>
      </c>
      <c r="BG75" s="56"/>
      <c r="BH75" s="47">
        <v>35</v>
      </c>
      <c r="BI75" s="51">
        <f t="shared" si="43"/>
        <v>19.044</v>
      </c>
      <c r="BJ75" s="51">
        <f t="shared" si="44"/>
        <v>0</v>
      </c>
      <c r="BK75" s="47"/>
      <c r="BL75" s="47"/>
      <c r="BM75" s="47"/>
      <c r="BN75" s="47"/>
      <c r="BO75" s="47"/>
      <c r="BP75" s="66">
        <v>19.044</v>
      </c>
      <c r="BQ75" s="47"/>
      <c r="BR75" s="47"/>
      <c r="BS75" s="53"/>
      <c r="BT75" s="47"/>
      <c r="BU75" s="47"/>
      <c r="BV75" s="47"/>
      <c r="BW75" s="47"/>
      <c r="BX75" s="47"/>
      <c r="BY75" s="47"/>
      <c r="BZ75" s="47"/>
      <c r="CA75" s="47"/>
      <c r="CB75" s="54">
        <f t="shared" si="45"/>
        <v>1506.9688000000003</v>
      </c>
      <c r="CC75" s="47"/>
      <c r="CD75" s="57"/>
      <c r="CE75" s="47"/>
      <c r="CF75" s="47">
        <f t="shared" si="46"/>
        <v>1506.9688000000003</v>
      </c>
    </row>
    <row r="76" spans="1:84" ht="14.25" customHeight="1">
      <c r="A76" s="47">
        <v>69</v>
      </c>
      <c r="B76" s="47" t="s">
        <v>129</v>
      </c>
      <c r="C76" s="48">
        <v>312001</v>
      </c>
      <c r="D76" s="60" t="s">
        <v>203</v>
      </c>
      <c r="E76" s="60" t="s">
        <v>131</v>
      </c>
      <c r="F76" s="50">
        <f t="shared" si="47"/>
        <v>68</v>
      </c>
      <c r="G76" s="50">
        <v>22</v>
      </c>
      <c r="H76" s="50">
        <v>3</v>
      </c>
      <c r="I76" s="50">
        <v>43</v>
      </c>
      <c r="J76" s="50"/>
      <c r="K76" s="50"/>
      <c r="L76" s="50"/>
      <c r="M76" s="50"/>
      <c r="N76" s="50">
        <f>11+1</f>
        <v>12</v>
      </c>
      <c r="O76" s="50">
        <f t="shared" si="48"/>
        <v>80</v>
      </c>
      <c r="P76" s="51">
        <f t="shared" si="35"/>
        <v>850.56349999999998</v>
      </c>
      <c r="Q76" s="51">
        <f t="shared" si="36"/>
        <v>732.52750000000003</v>
      </c>
      <c r="R76" s="47">
        <f t="shared" si="49"/>
        <v>179815</v>
      </c>
      <c r="S76" s="61">
        <v>66291</v>
      </c>
      <c r="T76" s="62">
        <v>113524</v>
      </c>
      <c r="U76" s="47">
        <f t="shared" si="50"/>
        <v>215.77799999999999</v>
      </c>
      <c r="V76" s="51">
        <f t="shared" si="2"/>
        <v>106.41</v>
      </c>
      <c r="W76" s="47">
        <f t="shared" si="51"/>
        <v>56.25</v>
      </c>
      <c r="X76" s="66">
        <v>50.16</v>
      </c>
      <c r="Y76" s="47"/>
      <c r="Z76" s="47"/>
      <c r="AA76" s="47"/>
      <c r="AB76" s="51">
        <f t="shared" si="52"/>
        <v>124.30710000000001</v>
      </c>
      <c r="AC76" s="47">
        <f t="shared" si="53"/>
        <v>6.6291000000000002</v>
      </c>
      <c r="AD76" s="66">
        <v>15.026400000000001</v>
      </c>
      <c r="AE76" s="47"/>
      <c r="AF76" s="47">
        <f t="shared" si="54"/>
        <v>102.6516</v>
      </c>
      <c r="AG76" s="64">
        <v>85543</v>
      </c>
      <c r="AH76" s="47"/>
      <c r="AI76" s="47">
        <f t="shared" si="55"/>
        <v>111.37</v>
      </c>
      <c r="AJ76" s="53">
        <f t="shared" si="56"/>
        <v>78.828599999999994</v>
      </c>
      <c r="AK76" s="53">
        <f t="shared" si="57"/>
        <v>788286</v>
      </c>
      <c r="AL76" s="47"/>
      <c r="AM76" s="47">
        <f t="shared" si="37"/>
        <v>32.678800000000003</v>
      </c>
      <c r="AN76" s="47">
        <f t="shared" si="38"/>
        <v>30.761800000000001</v>
      </c>
      <c r="AO76" s="47">
        <f t="shared" si="58"/>
        <v>307618</v>
      </c>
      <c r="AP76" s="47">
        <f t="shared" si="39"/>
        <v>1.917</v>
      </c>
      <c r="AQ76" s="47">
        <f t="shared" si="59"/>
        <v>19170</v>
      </c>
      <c r="AR76" s="47"/>
      <c r="AS76" s="47">
        <f t="shared" si="60"/>
        <v>4.0335999999999999</v>
      </c>
      <c r="AT76" s="47">
        <f t="shared" si="40"/>
        <v>2.3003999999999998</v>
      </c>
      <c r="AU76" s="47">
        <f t="shared" si="61"/>
        <v>23003.999999999996</v>
      </c>
      <c r="AV76" s="47">
        <f t="shared" si="41"/>
        <v>1.7332000000000001</v>
      </c>
      <c r="AW76" s="47">
        <f t="shared" si="62"/>
        <v>17332</v>
      </c>
      <c r="AX76" s="47">
        <f t="shared" si="42"/>
        <v>59.121400000000001</v>
      </c>
      <c r="AY76" s="47"/>
      <c r="AZ76" s="47"/>
      <c r="BA76" s="54">
        <v>1E-4</v>
      </c>
      <c r="BB76" s="65" t="s">
        <v>203</v>
      </c>
      <c r="BC76" s="51">
        <f t="shared" si="63"/>
        <v>116.38</v>
      </c>
      <c r="BD76" s="47">
        <f t="shared" si="33"/>
        <v>71.28</v>
      </c>
      <c r="BE76" s="47">
        <f t="shared" si="64"/>
        <v>17.100000000000001</v>
      </c>
      <c r="BF76" s="47">
        <v>14250</v>
      </c>
      <c r="BG76" s="56"/>
      <c r="BH76" s="47">
        <v>28</v>
      </c>
      <c r="BI76" s="51">
        <f t="shared" si="43"/>
        <v>1.6559999999999999</v>
      </c>
      <c r="BJ76" s="51">
        <f t="shared" si="44"/>
        <v>0</v>
      </c>
      <c r="BK76" s="47"/>
      <c r="BL76" s="47"/>
      <c r="BM76" s="47"/>
      <c r="BN76" s="47"/>
      <c r="BO76" s="47"/>
      <c r="BP76" s="66">
        <v>1.6559999999999999</v>
      </c>
      <c r="BQ76" s="47"/>
      <c r="BR76" s="47"/>
      <c r="BS76" s="53"/>
      <c r="BT76" s="47"/>
      <c r="BU76" s="47"/>
      <c r="BV76" s="47"/>
      <c r="BW76" s="47"/>
      <c r="BX76" s="47"/>
      <c r="BY76" s="47"/>
      <c r="BZ76" s="47"/>
      <c r="CA76" s="47"/>
      <c r="CB76" s="54">
        <f t="shared" si="45"/>
        <v>850.56349999999998</v>
      </c>
      <c r="CC76" s="47"/>
      <c r="CD76" s="57"/>
      <c r="CE76" s="47"/>
      <c r="CF76" s="47">
        <f t="shared" si="46"/>
        <v>850.56349999999998</v>
      </c>
    </row>
    <row r="77" spans="1:84" ht="14.25" customHeight="1">
      <c r="A77" s="47">
        <v>70</v>
      </c>
      <c r="B77" s="47" t="s">
        <v>129</v>
      </c>
      <c r="C77" s="48">
        <v>313001</v>
      </c>
      <c r="D77" s="60" t="s">
        <v>204</v>
      </c>
      <c r="E77" s="60" t="s">
        <v>131</v>
      </c>
      <c r="F77" s="50">
        <f t="shared" si="47"/>
        <v>101</v>
      </c>
      <c r="G77" s="50">
        <v>38</v>
      </c>
      <c r="H77" s="50">
        <v>5</v>
      </c>
      <c r="I77" s="50">
        <f>53+5</f>
        <v>58</v>
      </c>
      <c r="J77" s="50"/>
      <c r="K77" s="50"/>
      <c r="L77" s="50"/>
      <c r="M77" s="50"/>
      <c r="N77" s="50">
        <f>27+1</f>
        <v>28</v>
      </c>
      <c r="O77" s="50">
        <f t="shared" si="48"/>
        <v>129</v>
      </c>
      <c r="P77" s="51">
        <f t="shared" si="35"/>
        <v>1316.4818000000002</v>
      </c>
      <c r="Q77" s="51">
        <f t="shared" si="36"/>
        <v>1137.9978000000001</v>
      </c>
      <c r="R77" s="47">
        <f t="shared" si="49"/>
        <v>300577</v>
      </c>
      <c r="S77" s="61">
        <v>122130</v>
      </c>
      <c r="T77" s="62">
        <v>178447</v>
      </c>
      <c r="U77" s="47">
        <f t="shared" si="50"/>
        <v>360.69240000000002</v>
      </c>
      <c r="V77" s="51">
        <f t="shared" si="2"/>
        <v>172.63800000000001</v>
      </c>
      <c r="W77" s="47">
        <f t="shared" si="51"/>
        <v>96.75</v>
      </c>
      <c r="X77" s="66">
        <v>75.888000000000005</v>
      </c>
      <c r="Y77" s="47"/>
      <c r="Z77" s="47"/>
      <c r="AA77" s="47"/>
      <c r="AB77" s="51">
        <f t="shared" si="52"/>
        <v>181.90979999999999</v>
      </c>
      <c r="AC77" s="47">
        <f t="shared" si="53"/>
        <v>12.212999999999999</v>
      </c>
      <c r="AD77" s="66">
        <v>23.572800000000001</v>
      </c>
      <c r="AE77" s="47"/>
      <c r="AF77" s="47">
        <f t="shared" si="54"/>
        <v>146.124</v>
      </c>
      <c r="AG77" s="64">
        <v>121770</v>
      </c>
      <c r="AH77" s="47"/>
      <c r="AI77" s="47">
        <f t="shared" si="55"/>
        <v>150.22</v>
      </c>
      <c r="AJ77" s="53">
        <f t="shared" si="56"/>
        <v>122.5599</v>
      </c>
      <c r="AK77" s="53">
        <f t="shared" si="57"/>
        <v>1225599</v>
      </c>
      <c r="AL77" s="47"/>
      <c r="AM77" s="47">
        <f t="shared" si="37"/>
        <v>51.8613</v>
      </c>
      <c r="AN77" s="47">
        <f t="shared" si="38"/>
        <v>48.823</v>
      </c>
      <c r="AO77" s="47">
        <f t="shared" si="58"/>
        <v>488230</v>
      </c>
      <c r="AP77" s="47">
        <f t="shared" si="39"/>
        <v>3.0383</v>
      </c>
      <c r="AQ77" s="47">
        <f t="shared" si="59"/>
        <v>30383</v>
      </c>
      <c r="AR77" s="47"/>
      <c r="AS77" s="47">
        <f t="shared" si="60"/>
        <v>6.1965000000000003</v>
      </c>
      <c r="AT77" s="47">
        <f t="shared" si="40"/>
        <v>3.6459999999999999</v>
      </c>
      <c r="AU77" s="47">
        <f t="shared" si="61"/>
        <v>36460</v>
      </c>
      <c r="AV77" s="47">
        <f t="shared" si="41"/>
        <v>2.5505</v>
      </c>
      <c r="AW77" s="47">
        <f t="shared" si="62"/>
        <v>25505</v>
      </c>
      <c r="AX77" s="47">
        <f t="shared" si="42"/>
        <v>91.919899999999998</v>
      </c>
      <c r="AY77" s="47"/>
      <c r="AZ77" s="47"/>
      <c r="BA77" s="54">
        <v>1E-4</v>
      </c>
      <c r="BB77" s="65" t="s">
        <v>204</v>
      </c>
      <c r="BC77" s="51">
        <f t="shared" si="63"/>
        <v>171.24799999999999</v>
      </c>
      <c r="BD77" s="47">
        <f t="shared" si="33"/>
        <v>107.28</v>
      </c>
      <c r="BE77" s="47">
        <f t="shared" si="64"/>
        <v>28.968</v>
      </c>
      <c r="BF77" s="47">
        <v>24140</v>
      </c>
      <c r="BG77" s="56"/>
      <c r="BH77" s="47">
        <v>35</v>
      </c>
      <c r="BI77" s="51">
        <f t="shared" si="43"/>
        <v>7.2359999999999998</v>
      </c>
      <c r="BJ77" s="51">
        <f t="shared" si="44"/>
        <v>0</v>
      </c>
      <c r="BK77" s="47"/>
      <c r="BL77" s="47"/>
      <c r="BM77" s="47"/>
      <c r="BN77" s="47"/>
      <c r="BO77" s="47"/>
      <c r="BP77" s="66">
        <v>7.2359999999999998</v>
      </c>
      <c r="BQ77" s="47"/>
      <c r="BR77" s="47"/>
      <c r="BS77" s="53"/>
      <c r="BT77" s="47"/>
      <c r="BU77" s="47"/>
      <c r="BV77" s="47"/>
      <c r="BW77" s="47"/>
      <c r="BX77" s="47"/>
      <c r="BY77" s="47"/>
      <c r="BZ77" s="47"/>
      <c r="CA77" s="47"/>
      <c r="CB77" s="54">
        <f t="shared" si="45"/>
        <v>1316.4818000000002</v>
      </c>
      <c r="CC77" s="47"/>
      <c r="CD77" s="57"/>
      <c r="CE77" s="47"/>
      <c r="CF77" s="47">
        <f t="shared" si="46"/>
        <v>1316.4818000000002</v>
      </c>
    </row>
    <row r="78" spans="1:84" ht="14.25" customHeight="1">
      <c r="A78" s="47">
        <v>71</v>
      </c>
      <c r="B78" s="47" t="s">
        <v>129</v>
      </c>
      <c r="C78" s="48">
        <v>314001</v>
      </c>
      <c r="D78" s="60" t="s">
        <v>205</v>
      </c>
      <c r="E78" s="60" t="s">
        <v>131</v>
      </c>
      <c r="F78" s="50">
        <f t="shared" si="47"/>
        <v>105</v>
      </c>
      <c r="G78" s="50">
        <v>41</v>
      </c>
      <c r="H78" s="50">
        <v>4</v>
      </c>
      <c r="I78" s="50">
        <f>23+5</f>
        <v>28</v>
      </c>
      <c r="J78" s="50">
        <v>32</v>
      </c>
      <c r="K78" s="50"/>
      <c r="L78" s="50"/>
      <c r="M78" s="50"/>
      <c r="N78" s="50">
        <f>28+1</f>
        <v>29</v>
      </c>
      <c r="O78" s="50">
        <f t="shared" si="48"/>
        <v>134</v>
      </c>
      <c r="P78" s="51">
        <f t="shared" si="35"/>
        <v>1397.9560399999998</v>
      </c>
      <c r="Q78" s="51">
        <f t="shared" si="36"/>
        <v>1211.6600399999998</v>
      </c>
      <c r="R78" s="47">
        <f t="shared" si="49"/>
        <v>325661.2</v>
      </c>
      <c r="S78" s="61">
        <v>135137</v>
      </c>
      <c r="T78" s="62">
        <v>190524.2</v>
      </c>
      <c r="U78" s="47">
        <f t="shared" si="50"/>
        <v>390.79343999999998</v>
      </c>
      <c r="V78" s="51">
        <f t="shared" si="2"/>
        <v>185.346</v>
      </c>
      <c r="W78" s="47">
        <f t="shared" si="51"/>
        <v>101.25</v>
      </c>
      <c r="X78" s="66">
        <v>84.096000000000004</v>
      </c>
      <c r="Y78" s="47"/>
      <c r="Z78" s="47"/>
      <c r="AA78" s="47"/>
      <c r="AB78" s="51">
        <f t="shared" si="52"/>
        <v>190.82089999999999</v>
      </c>
      <c r="AC78" s="47">
        <f t="shared" si="53"/>
        <v>13.5137</v>
      </c>
      <c r="AD78" s="66">
        <v>25.847999999999999</v>
      </c>
      <c r="AE78" s="47"/>
      <c r="AF78" s="47">
        <f t="shared" si="54"/>
        <v>151.45920000000001</v>
      </c>
      <c r="AG78" s="64">
        <v>126216</v>
      </c>
      <c r="AH78" s="47"/>
      <c r="AI78" s="47">
        <f t="shared" si="55"/>
        <v>155.4</v>
      </c>
      <c r="AJ78" s="53">
        <f t="shared" si="56"/>
        <v>129.98660000000001</v>
      </c>
      <c r="AK78" s="53">
        <f t="shared" si="57"/>
        <v>1299866</v>
      </c>
      <c r="AL78" s="47"/>
      <c r="AM78" s="47">
        <f t="shared" si="37"/>
        <v>55.2502</v>
      </c>
      <c r="AN78" s="47">
        <f t="shared" si="38"/>
        <v>52.012999999999998</v>
      </c>
      <c r="AO78" s="47">
        <f t="shared" si="58"/>
        <v>520130</v>
      </c>
      <c r="AP78" s="47">
        <f t="shared" si="39"/>
        <v>3.2372000000000001</v>
      </c>
      <c r="AQ78" s="47">
        <f t="shared" si="59"/>
        <v>32372</v>
      </c>
      <c r="AR78" s="47"/>
      <c r="AS78" s="47">
        <f t="shared" si="60"/>
        <v>6.5728999999999997</v>
      </c>
      <c r="AT78" s="47">
        <f t="shared" si="40"/>
        <v>3.8847</v>
      </c>
      <c r="AU78" s="47">
        <f t="shared" si="61"/>
        <v>38847</v>
      </c>
      <c r="AV78" s="47">
        <f t="shared" si="41"/>
        <v>2.6882000000000001</v>
      </c>
      <c r="AW78" s="47">
        <f t="shared" si="62"/>
        <v>26882</v>
      </c>
      <c r="AX78" s="47">
        <f t="shared" si="42"/>
        <v>97.49</v>
      </c>
      <c r="AY78" s="47"/>
      <c r="AZ78" s="47"/>
      <c r="BA78" s="54">
        <v>1E-4</v>
      </c>
      <c r="BB78" s="65" t="s">
        <v>205</v>
      </c>
      <c r="BC78" s="51">
        <f t="shared" si="63"/>
        <v>178.08799999999999</v>
      </c>
      <c r="BD78" s="47">
        <f t="shared" si="33"/>
        <v>111.6</v>
      </c>
      <c r="BE78" s="47">
        <f t="shared" si="64"/>
        <v>31.488</v>
      </c>
      <c r="BF78" s="47">
        <v>26240</v>
      </c>
      <c r="BG78" s="56"/>
      <c r="BH78" s="47">
        <v>35</v>
      </c>
      <c r="BI78" s="51">
        <f t="shared" si="43"/>
        <v>8.2080000000000002</v>
      </c>
      <c r="BJ78" s="51">
        <f t="shared" si="44"/>
        <v>0</v>
      </c>
      <c r="BK78" s="47"/>
      <c r="BL78" s="47"/>
      <c r="BM78" s="47"/>
      <c r="BN78" s="47"/>
      <c r="BO78" s="47"/>
      <c r="BP78" s="66">
        <v>8.2080000000000002</v>
      </c>
      <c r="BQ78" s="47"/>
      <c r="BR78" s="47"/>
      <c r="BS78" s="53"/>
      <c r="BT78" s="47"/>
      <c r="BU78" s="47"/>
      <c r="BV78" s="47"/>
      <c r="BW78" s="47"/>
      <c r="BX78" s="47"/>
      <c r="BY78" s="47"/>
      <c r="BZ78" s="47"/>
      <c r="CA78" s="47"/>
      <c r="CB78" s="54">
        <f t="shared" si="45"/>
        <v>1397.9560399999998</v>
      </c>
      <c r="CC78" s="47"/>
      <c r="CD78" s="57"/>
      <c r="CE78" s="47"/>
      <c r="CF78" s="47">
        <f t="shared" si="46"/>
        <v>1397.9560399999998</v>
      </c>
    </row>
    <row r="79" spans="1:84" ht="14.25" customHeight="1">
      <c r="A79" s="47">
        <v>72</v>
      </c>
      <c r="B79" s="47" t="s">
        <v>129</v>
      </c>
      <c r="C79" s="48">
        <v>315001</v>
      </c>
      <c r="D79" s="60" t="s">
        <v>206</v>
      </c>
      <c r="E79" s="60" t="s">
        <v>131</v>
      </c>
      <c r="F79" s="50">
        <f t="shared" si="47"/>
        <v>121</v>
      </c>
      <c r="G79" s="50">
        <v>43</v>
      </c>
      <c r="H79" s="50">
        <v>5</v>
      </c>
      <c r="I79" s="50">
        <v>73</v>
      </c>
      <c r="J79" s="50"/>
      <c r="K79" s="50"/>
      <c r="L79" s="50"/>
      <c r="M79" s="50"/>
      <c r="N79" s="50">
        <v>39</v>
      </c>
      <c r="O79" s="50">
        <f t="shared" si="48"/>
        <v>160</v>
      </c>
      <c r="P79" s="51">
        <f t="shared" si="35"/>
        <v>1590.1004999999998</v>
      </c>
      <c r="Q79" s="51">
        <f t="shared" si="36"/>
        <v>1385.9784999999999</v>
      </c>
      <c r="R79" s="47">
        <f t="shared" si="49"/>
        <v>367178</v>
      </c>
      <c r="S79" s="61">
        <v>134740</v>
      </c>
      <c r="T79" s="62">
        <v>232438</v>
      </c>
      <c r="U79" s="47">
        <f t="shared" si="50"/>
        <v>440.61360000000002</v>
      </c>
      <c r="V79" s="51">
        <f t="shared" si="2"/>
        <v>203.42400000000001</v>
      </c>
      <c r="W79" s="47">
        <f t="shared" si="51"/>
        <v>108</v>
      </c>
      <c r="X79" s="66">
        <v>95.424000000000007</v>
      </c>
      <c r="Y79" s="47"/>
      <c r="Z79" s="47"/>
      <c r="AA79" s="47"/>
      <c r="AB79" s="51">
        <f t="shared" si="52"/>
        <v>221.7928</v>
      </c>
      <c r="AC79" s="47">
        <f t="shared" si="53"/>
        <v>13.474</v>
      </c>
      <c r="AD79" s="66">
        <v>29.546399999999998</v>
      </c>
      <c r="AE79" s="47"/>
      <c r="AF79" s="47">
        <f t="shared" si="54"/>
        <v>178.7724</v>
      </c>
      <c r="AG79" s="64">
        <v>148977</v>
      </c>
      <c r="AH79" s="47"/>
      <c r="AI79" s="47">
        <f t="shared" si="55"/>
        <v>189.07</v>
      </c>
      <c r="AJ79" s="53">
        <f t="shared" si="56"/>
        <v>148.78880000000001</v>
      </c>
      <c r="AK79" s="53">
        <f t="shared" si="57"/>
        <v>1487888</v>
      </c>
      <c r="AL79" s="47"/>
      <c r="AM79" s="47">
        <f t="shared" si="37"/>
        <v>62.995600000000003</v>
      </c>
      <c r="AN79" s="47">
        <f t="shared" si="38"/>
        <v>59.307200000000002</v>
      </c>
      <c r="AO79" s="47">
        <f t="shared" si="58"/>
        <v>593072</v>
      </c>
      <c r="AP79" s="47">
        <f t="shared" si="39"/>
        <v>3.6884000000000001</v>
      </c>
      <c r="AQ79" s="47">
        <f t="shared" si="59"/>
        <v>36884</v>
      </c>
      <c r="AR79" s="47"/>
      <c r="AS79" s="47">
        <f t="shared" si="60"/>
        <v>7.7020999999999997</v>
      </c>
      <c r="AT79" s="47">
        <f t="shared" si="40"/>
        <v>4.4260999999999999</v>
      </c>
      <c r="AU79" s="47">
        <f t="shared" si="61"/>
        <v>44261</v>
      </c>
      <c r="AV79" s="47">
        <f t="shared" si="41"/>
        <v>3.2759999999999998</v>
      </c>
      <c r="AW79" s="47">
        <f t="shared" si="62"/>
        <v>32759.999999999996</v>
      </c>
      <c r="AX79" s="47">
        <f t="shared" si="42"/>
        <v>111.5916</v>
      </c>
      <c r="AY79" s="47"/>
      <c r="AZ79" s="47"/>
      <c r="BA79" s="54">
        <v>1E-4</v>
      </c>
      <c r="BB79" s="65" t="s">
        <v>206</v>
      </c>
      <c r="BC79" s="51">
        <f t="shared" si="63"/>
        <v>195.608</v>
      </c>
      <c r="BD79" s="47">
        <f t="shared" si="33"/>
        <v>127.67999999999999</v>
      </c>
      <c r="BE79" s="47">
        <f t="shared" si="64"/>
        <v>32.927999999999997</v>
      </c>
      <c r="BF79" s="47">
        <v>27440</v>
      </c>
      <c r="BG79" s="56"/>
      <c r="BH79" s="47">
        <v>35</v>
      </c>
      <c r="BI79" s="51">
        <f t="shared" si="43"/>
        <v>8.5139999999999993</v>
      </c>
      <c r="BJ79" s="51">
        <f t="shared" si="44"/>
        <v>0</v>
      </c>
      <c r="BK79" s="47"/>
      <c r="BL79" s="47"/>
      <c r="BM79" s="47"/>
      <c r="BN79" s="47"/>
      <c r="BO79" s="47"/>
      <c r="BP79" s="66">
        <v>8.5139999999999993</v>
      </c>
      <c r="BQ79" s="47"/>
      <c r="BR79" s="47"/>
      <c r="BS79" s="53"/>
      <c r="BT79" s="47"/>
      <c r="BU79" s="47"/>
      <c r="BV79" s="47"/>
      <c r="BW79" s="47"/>
      <c r="BX79" s="47"/>
      <c r="BY79" s="47"/>
      <c r="BZ79" s="47"/>
      <c r="CA79" s="47"/>
      <c r="CB79" s="54">
        <f t="shared" si="45"/>
        <v>1590.1004999999998</v>
      </c>
      <c r="CC79" s="47"/>
      <c r="CD79" s="57"/>
      <c r="CE79" s="47"/>
      <c r="CF79" s="47">
        <f t="shared" si="46"/>
        <v>1590.1004999999998</v>
      </c>
    </row>
    <row r="80" spans="1:84" ht="14.25" customHeight="1">
      <c r="A80" s="47">
        <v>73</v>
      </c>
      <c r="B80" s="47" t="s">
        <v>129</v>
      </c>
      <c r="C80" s="48">
        <v>401001</v>
      </c>
      <c r="D80" s="49" t="s">
        <v>207</v>
      </c>
      <c r="E80" s="60" t="s">
        <v>131</v>
      </c>
      <c r="F80" s="50">
        <f t="shared" si="47"/>
        <v>37</v>
      </c>
      <c r="G80" s="50">
        <v>28</v>
      </c>
      <c r="H80" s="50"/>
      <c r="I80" s="50">
        <v>8</v>
      </c>
      <c r="J80" s="50">
        <v>1</v>
      </c>
      <c r="K80" s="50"/>
      <c r="L80" s="50"/>
      <c r="M80" s="50"/>
      <c r="N80" s="50">
        <v>29</v>
      </c>
      <c r="O80" s="50">
        <f t="shared" si="48"/>
        <v>66</v>
      </c>
      <c r="P80" s="51">
        <f t="shared" si="35"/>
        <v>1022.2045000000001</v>
      </c>
      <c r="Q80" s="51">
        <f t="shared" si="36"/>
        <v>448.97829999999999</v>
      </c>
      <c r="R80" s="47">
        <f t="shared" si="49"/>
        <v>142029</v>
      </c>
      <c r="S80" s="58">
        <v>115972</v>
      </c>
      <c r="T80" s="51">
        <v>26057</v>
      </c>
      <c r="U80" s="47">
        <f t="shared" si="50"/>
        <v>170.4348</v>
      </c>
      <c r="V80" s="51">
        <f t="shared" si="2"/>
        <v>63.388800000000003</v>
      </c>
      <c r="W80" s="47">
        <f t="shared" si="51"/>
        <v>63</v>
      </c>
      <c r="X80" s="47"/>
      <c r="Y80" s="47"/>
      <c r="Z80" s="47"/>
      <c r="AA80" s="47">
        <v>0.38879999999999998</v>
      </c>
      <c r="AB80" s="51">
        <f t="shared" si="52"/>
        <v>74.994399999999999</v>
      </c>
      <c r="AC80" s="47">
        <f t="shared" si="53"/>
        <v>11.597200000000001</v>
      </c>
      <c r="AD80" s="47"/>
      <c r="AE80" s="47"/>
      <c r="AF80" s="47">
        <f t="shared" si="54"/>
        <v>63.397199999999998</v>
      </c>
      <c r="AG80" s="47">
        <v>52831</v>
      </c>
      <c r="AH80" s="47"/>
      <c r="AI80" s="47">
        <f t="shared" si="55"/>
        <v>23.31</v>
      </c>
      <c r="AJ80" s="53">
        <f t="shared" si="56"/>
        <v>53.078299999999999</v>
      </c>
      <c r="AK80" s="53">
        <f t="shared" si="57"/>
        <v>530783</v>
      </c>
      <c r="AL80" s="47"/>
      <c r="AM80" s="47">
        <f t="shared" si="37"/>
        <v>22.040800000000001</v>
      </c>
      <c r="AN80" s="47">
        <f t="shared" si="38"/>
        <v>20.757100000000001</v>
      </c>
      <c r="AO80" s="47">
        <f t="shared" si="58"/>
        <v>207571</v>
      </c>
      <c r="AP80" s="47">
        <f t="shared" si="39"/>
        <v>1.2837000000000001</v>
      </c>
      <c r="AQ80" s="47">
        <f t="shared" si="59"/>
        <v>12837</v>
      </c>
      <c r="AR80" s="47"/>
      <c r="AS80" s="47">
        <f t="shared" si="60"/>
        <v>1.9225000000000001</v>
      </c>
      <c r="AT80" s="47">
        <f t="shared" si="40"/>
        <v>1.5405</v>
      </c>
      <c r="AU80" s="47">
        <f t="shared" si="61"/>
        <v>15405</v>
      </c>
      <c r="AV80" s="47">
        <f t="shared" si="41"/>
        <v>0.38200000000000001</v>
      </c>
      <c r="AW80" s="47">
        <f t="shared" si="62"/>
        <v>3820</v>
      </c>
      <c r="AX80" s="47">
        <f t="shared" si="42"/>
        <v>39.808700000000002</v>
      </c>
      <c r="AY80" s="47"/>
      <c r="AZ80" s="47"/>
      <c r="BA80" s="54">
        <v>1E-4</v>
      </c>
      <c r="BB80" s="55" t="s">
        <v>207</v>
      </c>
      <c r="BC80" s="51">
        <f t="shared" si="63"/>
        <v>344.404</v>
      </c>
      <c r="BD80" s="47">
        <f t="shared" si="33"/>
        <v>42.24</v>
      </c>
      <c r="BE80" s="47">
        <f t="shared" si="64"/>
        <v>22.164000000000001</v>
      </c>
      <c r="BF80" s="47">
        <v>18470</v>
      </c>
      <c r="BG80" s="56">
        <v>280</v>
      </c>
      <c r="BH80" s="47"/>
      <c r="BI80" s="51">
        <f t="shared" si="43"/>
        <v>228.82220000000001</v>
      </c>
      <c r="BJ80" s="51">
        <f t="shared" si="44"/>
        <v>0</v>
      </c>
      <c r="BK80" s="47"/>
      <c r="BL80" s="47"/>
      <c r="BM80" s="47"/>
      <c r="BN80" s="47"/>
      <c r="BO80" s="47"/>
      <c r="BP80" s="68">
        <v>3.3119999999999998</v>
      </c>
      <c r="BQ80" s="47"/>
      <c r="BR80" s="47"/>
      <c r="BS80" s="53"/>
      <c r="BT80" s="47"/>
      <c r="BU80" s="47"/>
      <c r="BV80" s="47"/>
      <c r="BW80" s="68">
        <v>225.5102</v>
      </c>
      <c r="BX80" s="47">
        <v>213</v>
      </c>
      <c r="BY80" s="47"/>
      <c r="BZ80" s="47"/>
      <c r="CA80" s="47"/>
      <c r="CB80" s="54">
        <f t="shared" si="45"/>
        <v>1235.2045000000001</v>
      </c>
      <c r="CC80" s="47"/>
      <c r="CD80" s="57"/>
      <c r="CE80" s="47"/>
      <c r="CF80" s="47">
        <f t="shared" si="46"/>
        <v>1235.2045000000001</v>
      </c>
    </row>
    <row r="81" spans="1:84" ht="14.25" customHeight="1">
      <c r="A81" s="47">
        <v>74</v>
      </c>
      <c r="B81" s="47" t="s">
        <v>129</v>
      </c>
      <c r="C81" s="48">
        <v>411001</v>
      </c>
      <c r="D81" s="49" t="s">
        <v>208</v>
      </c>
      <c r="E81" s="49" t="s">
        <v>141</v>
      </c>
      <c r="F81" s="50">
        <f t="shared" si="47"/>
        <v>10</v>
      </c>
      <c r="G81" s="50">
        <v>10</v>
      </c>
      <c r="H81" s="50"/>
      <c r="I81" s="50"/>
      <c r="J81" s="50"/>
      <c r="K81" s="50"/>
      <c r="L81" s="50"/>
      <c r="M81" s="50"/>
      <c r="N81" s="50">
        <v>1</v>
      </c>
      <c r="O81" s="50">
        <f t="shared" si="48"/>
        <v>11</v>
      </c>
      <c r="P81" s="51">
        <f t="shared" si="35"/>
        <v>196.54480000000001</v>
      </c>
      <c r="Q81" s="51">
        <f t="shared" si="36"/>
        <v>105.9448</v>
      </c>
      <c r="R81" s="47">
        <f t="shared" si="49"/>
        <v>31067</v>
      </c>
      <c r="S81" s="58">
        <v>31067</v>
      </c>
      <c r="T81" s="51"/>
      <c r="U81" s="47">
        <f t="shared" si="50"/>
        <v>37.2804</v>
      </c>
      <c r="V81" s="51">
        <f t="shared" si="2"/>
        <v>22.5</v>
      </c>
      <c r="W81" s="47">
        <f t="shared" si="51"/>
        <v>22.5</v>
      </c>
      <c r="X81" s="47"/>
      <c r="Y81" s="47"/>
      <c r="Z81" s="47"/>
      <c r="AA81" s="47"/>
      <c r="AB81" s="51">
        <f t="shared" si="52"/>
        <v>18.7331</v>
      </c>
      <c r="AC81" s="47">
        <f t="shared" si="53"/>
        <v>3.1067</v>
      </c>
      <c r="AD81" s="47"/>
      <c r="AE81" s="47"/>
      <c r="AF81" s="47">
        <f t="shared" si="54"/>
        <v>15.6264</v>
      </c>
      <c r="AG81" s="47">
        <v>13022</v>
      </c>
      <c r="AH81" s="47"/>
      <c r="AI81" s="47">
        <f t="shared" si="55"/>
        <v>0</v>
      </c>
      <c r="AJ81" s="53">
        <f t="shared" si="56"/>
        <v>12.562200000000001</v>
      </c>
      <c r="AK81" s="53">
        <f t="shared" si="57"/>
        <v>125622</v>
      </c>
      <c r="AL81" s="47"/>
      <c r="AM81" s="47">
        <f t="shared" si="37"/>
        <v>5.0888</v>
      </c>
      <c r="AN81" s="47">
        <f t="shared" si="38"/>
        <v>4.7899000000000003</v>
      </c>
      <c r="AO81" s="47">
        <f t="shared" si="58"/>
        <v>47899</v>
      </c>
      <c r="AP81" s="47">
        <f t="shared" si="39"/>
        <v>0.2989</v>
      </c>
      <c r="AQ81" s="47">
        <f t="shared" si="59"/>
        <v>2989</v>
      </c>
      <c r="AR81" s="47"/>
      <c r="AS81" s="47">
        <f t="shared" si="60"/>
        <v>0.35870000000000002</v>
      </c>
      <c r="AT81" s="47">
        <f t="shared" si="40"/>
        <v>0.35870000000000002</v>
      </c>
      <c r="AU81" s="47">
        <f t="shared" si="61"/>
        <v>3587</v>
      </c>
      <c r="AV81" s="47">
        <f t="shared" si="41"/>
        <v>0</v>
      </c>
      <c r="AW81" s="47">
        <f t="shared" si="62"/>
        <v>0</v>
      </c>
      <c r="AX81" s="47">
        <f t="shared" si="42"/>
        <v>9.4215999999999998</v>
      </c>
      <c r="AY81" s="47"/>
      <c r="AZ81" s="47"/>
      <c r="BA81" s="54">
        <v>1E-4</v>
      </c>
      <c r="BB81" s="55" t="s">
        <v>208</v>
      </c>
      <c r="BC81" s="51">
        <f t="shared" si="63"/>
        <v>90.6</v>
      </c>
      <c r="BD81" s="47">
        <f t="shared" si="33"/>
        <v>12</v>
      </c>
      <c r="BE81" s="47">
        <f t="shared" si="64"/>
        <v>6.6</v>
      </c>
      <c r="BF81" s="47">
        <v>5500</v>
      </c>
      <c r="BG81" s="56">
        <v>72</v>
      </c>
      <c r="BH81" s="47"/>
      <c r="BI81" s="51">
        <f t="shared" si="43"/>
        <v>0</v>
      </c>
      <c r="BJ81" s="51">
        <f t="shared" si="44"/>
        <v>0</v>
      </c>
      <c r="BK81" s="47"/>
      <c r="BL81" s="47"/>
      <c r="BM81" s="47"/>
      <c r="BN81" s="47"/>
      <c r="BO81" s="47"/>
      <c r="BP81" s="47"/>
      <c r="BQ81" s="47"/>
      <c r="BR81" s="47"/>
      <c r="BS81" s="53"/>
      <c r="BT81" s="47"/>
      <c r="BU81" s="47"/>
      <c r="BV81" s="47"/>
      <c r="BW81" s="47"/>
      <c r="BX81" s="47"/>
      <c r="BY81" s="47"/>
      <c r="BZ81" s="47"/>
      <c r="CA81" s="47"/>
      <c r="CB81" s="54">
        <f t="shared" si="45"/>
        <v>196.54480000000001</v>
      </c>
      <c r="CC81" s="47"/>
      <c r="CD81" s="57"/>
      <c r="CE81" s="47"/>
      <c r="CF81" s="47">
        <f t="shared" si="46"/>
        <v>196.54480000000001</v>
      </c>
    </row>
    <row r="82" spans="1:84" ht="14.25" customHeight="1">
      <c r="A82" s="47">
        <v>75</v>
      </c>
      <c r="B82" s="47" t="s">
        <v>129</v>
      </c>
      <c r="C82" s="48">
        <v>413001</v>
      </c>
      <c r="D82" s="49" t="s">
        <v>209</v>
      </c>
      <c r="E82" s="49" t="s">
        <v>141</v>
      </c>
      <c r="F82" s="50">
        <f t="shared" si="47"/>
        <v>17</v>
      </c>
      <c r="G82" s="50">
        <v>3</v>
      </c>
      <c r="H82" s="50"/>
      <c r="I82" s="50">
        <v>14</v>
      </c>
      <c r="J82" s="50"/>
      <c r="K82" s="50"/>
      <c r="L82" s="50"/>
      <c r="M82" s="50"/>
      <c r="N82" s="50">
        <v>6</v>
      </c>
      <c r="O82" s="50">
        <f t="shared" si="48"/>
        <v>23</v>
      </c>
      <c r="P82" s="51">
        <f t="shared" si="35"/>
        <v>330.22190000000001</v>
      </c>
      <c r="Q82" s="51">
        <f t="shared" si="36"/>
        <v>178.68190000000001</v>
      </c>
      <c r="R82" s="47">
        <f t="shared" si="49"/>
        <v>51859</v>
      </c>
      <c r="S82" s="58">
        <v>10448</v>
      </c>
      <c r="T82" s="51">
        <v>41411</v>
      </c>
      <c r="U82" s="47">
        <f t="shared" si="50"/>
        <v>62.230800000000002</v>
      </c>
      <c r="V82" s="51">
        <f t="shared" si="2"/>
        <v>6.75</v>
      </c>
      <c r="W82" s="47">
        <f t="shared" si="51"/>
        <v>6.75</v>
      </c>
      <c r="X82" s="47"/>
      <c r="Y82" s="47"/>
      <c r="Z82" s="47"/>
      <c r="AA82" s="47"/>
      <c r="AB82" s="51">
        <f t="shared" si="52"/>
        <v>26.367199999999997</v>
      </c>
      <c r="AC82" s="47">
        <f t="shared" si="53"/>
        <v>1.0448</v>
      </c>
      <c r="AD82" s="47"/>
      <c r="AE82" s="47"/>
      <c r="AF82" s="47">
        <f t="shared" si="54"/>
        <v>25.322399999999998</v>
      </c>
      <c r="AG82" s="47">
        <v>21102</v>
      </c>
      <c r="AH82" s="47"/>
      <c r="AI82" s="47">
        <f t="shared" si="55"/>
        <v>36.26</v>
      </c>
      <c r="AJ82" s="53">
        <f t="shared" si="56"/>
        <v>21.057300000000001</v>
      </c>
      <c r="AK82" s="53">
        <f t="shared" si="57"/>
        <v>210573.00000000003</v>
      </c>
      <c r="AL82" s="47"/>
      <c r="AM82" s="47">
        <f t="shared" si="37"/>
        <v>8.9905000000000008</v>
      </c>
      <c r="AN82" s="47">
        <f t="shared" si="38"/>
        <v>8.4642999999999997</v>
      </c>
      <c r="AO82" s="47">
        <f t="shared" si="58"/>
        <v>84643</v>
      </c>
      <c r="AP82" s="47">
        <f t="shared" si="39"/>
        <v>0.5262</v>
      </c>
      <c r="AQ82" s="47">
        <f t="shared" si="59"/>
        <v>5262</v>
      </c>
      <c r="AR82" s="47"/>
      <c r="AS82" s="47">
        <f t="shared" si="60"/>
        <v>1.2331000000000001</v>
      </c>
      <c r="AT82" s="47">
        <f t="shared" si="40"/>
        <v>0.63139999999999996</v>
      </c>
      <c r="AU82" s="47">
        <f t="shared" si="61"/>
        <v>6314</v>
      </c>
      <c r="AV82" s="47">
        <f t="shared" si="41"/>
        <v>0.60170000000000001</v>
      </c>
      <c r="AW82" s="47">
        <f t="shared" si="62"/>
        <v>6017</v>
      </c>
      <c r="AX82" s="47">
        <f t="shared" si="42"/>
        <v>15.792999999999999</v>
      </c>
      <c r="AY82" s="47"/>
      <c r="AZ82" s="47"/>
      <c r="BA82" s="54">
        <v>1E-4</v>
      </c>
      <c r="BB82" s="55" t="s">
        <v>209</v>
      </c>
      <c r="BC82" s="51">
        <f t="shared" si="63"/>
        <v>124.53999999999999</v>
      </c>
      <c r="BD82" s="47">
        <f t="shared" si="33"/>
        <v>17.04</v>
      </c>
      <c r="BE82" s="47">
        <f t="shared" si="64"/>
        <v>10.5</v>
      </c>
      <c r="BF82" s="47">
        <v>8750</v>
      </c>
      <c r="BG82" s="56">
        <v>97</v>
      </c>
      <c r="BH82" s="47"/>
      <c r="BI82" s="51">
        <f t="shared" si="43"/>
        <v>27</v>
      </c>
      <c r="BJ82" s="51">
        <f t="shared" si="44"/>
        <v>0</v>
      </c>
      <c r="BK82" s="47"/>
      <c r="BL82" s="47"/>
      <c r="BM82" s="47"/>
      <c r="BN82" s="47"/>
      <c r="BO82" s="47"/>
      <c r="BP82" s="47"/>
      <c r="BQ82" s="47"/>
      <c r="BR82" s="47"/>
      <c r="BS82" s="53"/>
      <c r="BT82" s="47"/>
      <c r="BU82" s="47"/>
      <c r="BV82" s="47"/>
      <c r="BW82" s="47">
        <v>27</v>
      </c>
      <c r="BX82" s="47"/>
      <c r="BY82" s="47"/>
      <c r="BZ82" s="47"/>
      <c r="CA82" s="47"/>
      <c r="CB82" s="54">
        <f t="shared" si="45"/>
        <v>330.22190000000001</v>
      </c>
      <c r="CC82" s="47"/>
      <c r="CD82" s="57"/>
      <c r="CE82" s="47"/>
      <c r="CF82" s="47">
        <f t="shared" si="46"/>
        <v>330.22190000000001</v>
      </c>
    </row>
    <row r="83" spans="1:84" ht="14.25" customHeight="1">
      <c r="A83" s="47">
        <v>76</v>
      </c>
      <c r="B83" s="47" t="s">
        <v>129</v>
      </c>
      <c r="C83" s="48">
        <v>412001</v>
      </c>
      <c r="D83" s="49" t="s">
        <v>210</v>
      </c>
      <c r="E83" s="49" t="s">
        <v>141</v>
      </c>
      <c r="F83" s="50">
        <f t="shared" si="47"/>
        <v>44</v>
      </c>
      <c r="G83" s="50">
        <v>33</v>
      </c>
      <c r="H83" s="50"/>
      <c r="I83" s="50">
        <v>11</v>
      </c>
      <c r="J83" s="50"/>
      <c r="K83" s="50"/>
      <c r="L83" s="50"/>
      <c r="M83" s="50"/>
      <c r="N83" s="50">
        <v>21</v>
      </c>
      <c r="O83" s="50">
        <f t="shared" si="48"/>
        <v>65</v>
      </c>
      <c r="P83" s="51">
        <f t="shared" si="35"/>
        <v>784.86479999999995</v>
      </c>
      <c r="Q83" s="51">
        <f t="shared" si="36"/>
        <v>462.96879999999999</v>
      </c>
      <c r="R83" s="47">
        <f t="shared" si="49"/>
        <v>137038</v>
      </c>
      <c r="S83" s="58">
        <v>104735</v>
      </c>
      <c r="T83" s="51">
        <v>32303</v>
      </c>
      <c r="U83" s="47">
        <f t="shared" si="50"/>
        <v>164.44560000000001</v>
      </c>
      <c r="V83" s="51">
        <f t="shared" si="2"/>
        <v>74.25</v>
      </c>
      <c r="W83" s="47">
        <f t="shared" si="51"/>
        <v>74.25</v>
      </c>
      <c r="X83" s="47"/>
      <c r="Y83" s="47"/>
      <c r="Z83" s="47"/>
      <c r="AA83" s="47"/>
      <c r="AB83" s="51">
        <f t="shared" si="52"/>
        <v>75.0227</v>
      </c>
      <c r="AC83" s="47">
        <f t="shared" si="53"/>
        <v>10.4735</v>
      </c>
      <c r="AD83" s="47"/>
      <c r="AE83" s="47"/>
      <c r="AF83" s="47">
        <f t="shared" si="54"/>
        <v>64.549199999999999</v>
      </c>
      <c r="AG83" s="47">
        <f>13382+21209+19200</f>
        <v>53791</v>
      </c>
      <c r="AH83" s="47"/>
      <c r="AI83" s="47">
        <f t="shared" si="55"/>
        <v>28.49</v>
      </c>
      <c r="AJ83" s="53">
        <f t="shared" si="56"/>
        <v>54.753300000000003</v>
      </c>
      <c r="AK83" s="53">
        <f t="shared" si="57"/>
        <v>547533</v>
      </c>
      <c r="AL83" s="47"/>
      <c r="AM83" s="47">
        <f t="shared" si="37"/>
        <v>22.868300000000001</v>
      </c>
      <c r="AN83" s="47">
        <f t="shared" si="38"/>
        <v>21.532299999999999</v>
      </c>
      <c r="AO83" s="47">
        <f t="shared" si="58"/>
        <v>215323</v>
      </c>
      <c r="AP83" s="47">
        <f t="shared" si="39"/>
        <v>1.3359000000000001</v>
      </c>
      <c r="AQ83" s="47">
        <f t="shared" si="59"/>
        <v>13359</v>
      </c>
      <c r="AR83" s="47"/>
      <c r="AS83" s="47">
        <f t="shared" si="60"/>
        <v>2.0739000000000001</v>
      </c>
      <c r="AT83" s="47">
        <f t="shared" si="40"/>
        <v>1.6031</v>
      </c>
      <c r="AU83" s="47">
        <f t="shared" si="61"/>
        <v>16031</v>
      </c>
      <c r="AV83" s="47">
        <f t="shared" si="41"/>
        <v>0.4708</v>
      </c>
      <c r="AW83" s="47">
        <f t="shared" si="62"/>
        <v>4708</v>
      </c>
      <c r="AX83" s="47">
        <f t="shared" si="42"/>
        <v>41.064999999999998</v>
      </c>
      <c r="AY83" s="47"/>
      <c r="AZ83" s="47"/>
      <c r="BA83" s="54">
        <v>1E-4</v>
      </c>
      <c r="BB83" s="55" t="s">
        <v>210</v>
      </c>
      <c r="BC83" s="51">
        <f t="shared" si="63"/>
        <v>247.44799999999998</v>
      </c>
      <c r="BD83" s="47">
        <f t="shared" si="33"/>
        <v>50.16</v>
      </c>
      <c r="BE83" s="47">
        <f t="shared" si="64"/>
        <v>21.288</v>
      </c>
      <c r="BF83" s="47">
        <f>5650+9340+2750</f>
        <v>17740</v>
      </c>
      <c r="BG83" s="56">
        <v>176</v>
      </c>
      <c r="BH83" s="47"/>
      <c r="BI83" s="51">
        <f t="shared" si="43"/>
        <v>74.447999999999993</v>
      </c>
      <c r="BJ83" s="51">
        <f t="shared" si="44"/>
        <v>0</v>
      </c>
      <c r="BK83" s="47"/>
      <c r="BL83" s="47"/>
      <c r="BM83" s="47"/>
      <c r="BN83" s="47"/>
      <c r="BO83" s="47"/>
      <c r="BP83" s="47"/>
      <c r="BQ83" s="47"/>
      <c r="BR83" s="47"/>
      <c r="BS83" s="53"/>
      <c r="BT83" s="47"/>
      <c r="BU83" s="47"/>
      <c r="BV83" s="47"/>
      <c r="BW83" s="47">
        <v>74.447999999999993</v>
      </c>
      <c r="BX83" s="47"/>
      <c r="BY83" s="47"/>
      <c r="BZ83" s="47"/>
      <c r="CA83" s="47"/>
      <c r="CB83" s="54">
        <f t="shared" si="45"/>
        <v>784.86479999999995</v>
      </c>
      <c r="CC83" s="47"/>
      <c r="CD83" s="57"/>
      <c r="CE83" s="47"/>
      <c r="CF83" s="47">
        <f t="shared" si="46"/>
        <v>784.86479999999995</v>
      </c>
    </row>
    <row r="84" spans="1:84" ht="14.25" customHeight="1">
      <c r="A84" s="47">
        <v>77</v>
      </c>
      <c r="B84" s="47" t="s">
        <v>129</v>
      </c>
      <c r="C84" s="48">
        <v>416001</v>
      </c>
      <c r="D84" s="49" t="s">
        <v>211</v>
      </c>
      <c r="E84" s="49" t="s">
        <v>141</v>
      </c>
      <c r="F84" s="50">
        <f t="shared" si="47"/>
        <v>16</v>
      </c>
      <c r="G84" s="50">
        <v>7</v>
      </c>
      <c r="H84" s="50"/>
      <c r="I84" s="50">
        <v>9</v>
      </c>
      <c r="J84" s="50"/>
      <c r="K84" s="50"/>
      <c r="L84" s="50"/>
      <c r="M84" s="50"/>
      <c r="N84" s="50">
        <v>3</v>
      </c>
      <c r="O84" s="50">
        <f t="shared" si="48"/>
        <v>19</v>
      </c>
      <c r="P84" s="51">
        <f t="shared" si="35"/>
        <v>282.08710000000002</v>
      </c>
      <c r="Q84" s="51">
        <f t="shared" si="36"/>
        <v>176.68710000000002</v>
      </c>
      <c r="R84" s="47">
        <f t="shared" si="49"/>
        <v>54056</v>
      </c>
      <c r="S84" s="58">
        <v>23464</v>
      </c>
      <c r="T84" s="51">
        <v>30592</v>
      </c>
      <c r="U84" s="47">
        <f t="shared" si="50"/>
        <v>64.867199999999997</v>
      </c>
      <c r="V84" s="51">
        <f t="shared" si="2"/>
        <v>15.75</v>
      </c>
      <c r="W84" s="47">
        <f t="shared" si="51"/>
        <v>15.75</v>
      </c>
      <c r="X84" s="47"/>
      <c r="Y84" s="47"/>
      <c r="Z84" s="47"/>
      <c r="AA84" s="47"/>
      <c r="AB84" s="51">
        <f t="shared" si="52"/>
        <v>26.3752</v>
      </c>
      <c r="AC84" s="47">
        <f t="shared" si="53"/>
        <v>2.3464</v>
      </c>
      <c r="AD84" s="47"/>
      <c r="AE84" s="47"/>
      <c r="AF84" s="47">
        <f t="shared" si="54"/>
        <v>24.0288</v>
      </c>
      <c r="AG84" s="47">
        <v>20024</v>
      </c>
      <c r="AH84" s="47"/>
      <c r="AI84" s="47">
        <f t="shared" si="55"/>
        <v>23.31</v>
      </c>
      <c r="AJ84" s="53">
        <f t="shared" si="56"/>
        <v>20.848400000000002</v>
      </c>
      <c r="AK84" s="53">
        <f t="shared" si="57"/>
        <v>208484.00000000003</v>
      </c>
      <c r="AL84" s="47"/>
      <c r="AM84" s="47">
        <f t="shared" si="37"/>
        <v>8.8562999999999992</v>
      </c>
      <c r="AN84" s="47">
        <f t="shared" si="38"/>
        <v>8.3367000000000004</v>
      </c>
      <c r="AO84" s="47">
        <f t="shared" si="58"/>
        <v>83367</v>
      </c>
      <c r="AP84" s="47">
        <f t="shared" si="39"/>
        <v>0.51959999999999995</v>
      </c>
      <c r="AQ84" s="47">
        <f t="shared" si="59"/>
        <v>5195.9999999999991</v>
      </c>
      <c r="AR84" s="47"/>
      <c r="AS84" s="47">
        <f t="shared" si="60"/>
        <v>1.0437000000000001</v>
      </c>
      <c r="AT84" s="47">
        <f t="shared" si="40"/>
        <v>0.62360000000000004</v>
      </c>
      <c r="AU84" s="47">
        <f t="shared" si="61"/>
        <v>6236</v>
      </c>
      <c r="AV84" s="47">
        <f t="shared" si="41"/>
        <v>0.42009999999999997</v>
      </c>
      <c r="AW84" s="47">
        <f t="shared" si="62"/>
        <v>4201</v>
      </c>
      <c r="AX84" s="47">
        <f t="shared" si="42"/>
        <v>15.6363</v>
      </c>
      <c r="AY84" s="47"/>
      <c r="AZ84" s="47"/>
      <c r="BA84" s="54">
        <v>1E-4</v>
      </c>
      <c r="BB84" s="55" t="s">
        <v>211</v>
      </c>
      <c r="BC84" s="51">
        <f t="shared" si="63"/>
        <v>105.39999999999999</v>
      </c>
      <c r="BD84" s="47">
        <f t="shared" si="33"/>
        <v>17.04</v>
      </c>
      <c r="BE84" s="47">
        <f t="shared" si="64"/>
        <v>4.5599999999999996</v>
      </c>
      <c r="BF84" s="47">
        <v>3800</v>
      </c>
      <c r="BG84" s="56">
        <v>83</v>
      </c>
      <c r="BH84" s="47">
        <v>0.8</v>
      </c>
      <c r="BI84" s="51">
        <f t="shared" si="43"/>
        <v>0</v>
      </c>
      <c r="BJ84" s="51">
        <f t="shared" si="44"/>
        <v>0</v>
      </c>
      <c r="BK84" s="47"/>
      <c r="BL84" s="47"/>
      <c r="BM84" s="47"/>
      <c r="BN84" s="47"/>
      <c r="BO84" s="47"/>
      <c r="BP84" s="47"/>
      <c r="BQ84" s="47"/>
      <c r="BR84" s="47"/>
      <c r="BS84" s="53"/>
      <c r="BT84" s="47"/>
      <c r="BU84" s="47"/>
      <c r="BV84" s="47"/>
      <c r="BW84" s="47"/>
      <c r="BX84" s="47"/>
      <c r="BY84" s="47"/>
      <c r="BZ84" s="47"/>
      <c r="CA84" s="47"/>
      <c r="CB84" s="54">
        <f t="shared" si="45"/>
        <v>282.08710000000002</v>
      </c>
      <c r="CC84" s="47"/>
      <c r="CD84" s="57"/>
      <c r="CE84" s="47"/>
      <c r="CF84" s="47">
        <f t="shared" si="46"/>
        <v>282.08710000000002</v>
      </c>
    </row>
    <row r="85" spans="1:84" ht="14.25" customHeight="1">
      <c r="A85" s="47">
        <v>78</v>
      </c>
      <c r="B85" s="47" t="s">
        <v>129</v>
      </c>
      <c r="C85" s="48">
        <v>410001</v>
      </c>
      <c r="D85" s="49" t="s">
        <v>212</v>
      </c>
      <c r="E85" s="49" t="s">
        <v>150</v>
      </c>
      <c r="F85" s="50">
        <f t="shared" si="47"/>
        <v>5</v>
      </c>
      <c r="G85" s="50"/>
      <c r="H85" s="50"/>
      <c r="I85" s="50">
        <v>5</v>
      </c>
      <c r="J85" s="50"/>
      <c r="K85" s="50"/>
      <c r="L85" s="50"/>
      <c r="M85" s="50"/>
      <c r="N85" s="50"/>
      <c r="O85" s="50">
        <f t="shared" si="48"/>
        <v>5</v>
      </c>
      <c r="P85" s="51">
        <f t="shared" si="35"/>
        <v>99.245199999999983</v>
      </c>
      <c r="Q85" s="51">
        <f t="shared" si="36"/>
        <v>54.585199999999993</v>
      </c>
      <c r="R85" s="47">
        <f t="shared" si="49"/>
        <v>16645</v>
      </c>
      <c r="S85" s="58"/>
      <c r="T85" s="51">
        <v>16645</v>
      </c>
      <c r="U85" s="47">
        <f t="shared" si="50"/>
        <v>19.974</v>
      </c>
      <c r="V85" s="51">
        <f t="shared" si="2"/>
        <v>0</v>
      </c>
      <c r="W85" s="47">
        <f t="shared" si="51"/>
        <v>0</v>
      </c>
      <c r="X85" s="47"/>
      <c r="Y85" s="47"/>
      <c r="Z85" s="47"/>
      <c r="AA85" s="47"/>
      <c r="AB85" s="51">
        <f t="shared" si="52"/>
        <v>7.2</v>
      </c>
      <c r="AC85" s="47">
        <f t="shared" si="53"/>
        <v>0</v>
      </c>
      <c r="AD85" s="47"/>
      <c r="AE85" s="47"/>
      <c r="AF85" s="47">
        <f t="shared" si="54"/>
        <v>7.2</v>
      </c>
      <c r="AG85" s="47">
        <v>6000</v>
      </c>
      <c r="AH85" s="47"/>
      <c r="AI85" s="47">
        <f t="shared" si="55"/>
        <v>12.95</v>
      </c>
      <c r="AJ85" s="53">
        <f t="shared" si="56"/>
        <v>6.4198000000000004</v>
      </c>
      <c r="AK85" s="53">
        <f t="shared" si="57"/>
        <v>64198.000000000007</v>
      </c>
      <c r="AL85" s="47"/>
      <c r="AM85" s="47">
        <f t="shared" si="37"/>
        <v>2.7985000000000002</v>
      </c>
      <c r="AN85" s="47">
        <f t="shared" si="38"/>
        <v>2.6339000000000001</v>
      </c>
      <c r="AO85" s="47">
        <f t="shared" si="58"/>
        <v>26339</v>
      </c>
      <c r="AP85" s="47">
        <f t="shared" si="39"/>
        <v>0.1646</v>
      </c>
      <c r="AQ85" s="47">
        <f t="shared" si="59"/>
        <v>1646</v>
      </c>
      <c r="AR85" s="47"/>
      <c r="AS85" s="47">
        <f t="shared" si="60"/>
        <v>0.42799999999999999</v>
      </c>
      <c r="AT85" s="47">
        <f t="shared" si="40"/>
        <v>0.19750000000000001</v>
      </c>
      <c r="AU85" s="47">
        <f t="shared" si="61"/>
        <v>1975</v>
      </c>
      <c r="AV85" s="47">
        <f t="shared" si="41"/>
        <v>0.23050000000000001</v>
      </c>
      <c r="AW85" s="47">
        <f t="shared" si="62"/>
        <v>2305</v>
      </c>
      <c r="AX85" s="47">
        <f t="shared" si="42"/>
        <v>4.8148999999999997</v>
      </c>
      <c r="AY85" s="47"/>
      <c r="AZ85" s="47"/>
      <c r="BA85" s="54">
        <v>1E-4</v>
      </c>
      <c r="BB85" s="55" t="s">
        <v>212</v>
      </c>
      <c r="BC85" s="51">
        <f t="shared" si="63"/>
        <v>44.66</v>
      </c>
      <c r="BD85" s="47">
        <f t="shared" si="33"/>
        <v>4.8</v>
      </c>
      <c r="BE85" s="47">
        <f t="shared" si="64"/>
        <v>1.86</v>
      </c>
      <c r="BF85" s="47">
        <v>1550</v>
      </c>
      <c r="BG85" s="56">
        <v>38</v>
      </c>
      <c r="BH85" s="47"/>
      <c r="BI85" s="51">
        <f t="shared" si="43"/>
        <v>0</v>
      </c>
      <c r="BJ85" s="51">
        <f t="shared" si="44"/>
        <v>0</v>
      </c>
      <c r="BK85" s="47"/>
      <c r="BL85" s="47"/>
      <c r="BM85" s="47"/>
      <c r="BN85" s="47"/>
      <c r="BO85" s="47"/>
      <c r="BP85" s="47"/>
      <c r="BQ85" s="47"/>
      <c r="BR85" s="47"/>
      <c r="BS85" s="53"/>
      <c r="BT85" s="47"/>
      <c r="BU85" s="47"/>
      <c r="BV85" s="47"/>
      <c r="BW85" s="47"/>
      <c r="BX85" s="47"/>
      <c r="BY85" s="47"/>
      <c r="BZ85" s="47"/>
      <c r="CA85" s="47"/>
      <c r="CB85" s="54">
        <f t="shared" si="45"/>
        <v>99.245199999999983</v>
      </c>
      <c r="CC85" s="47"/>
      <c r="CD85" s="57"/>
      <c r="CE85" s="47"/>
      <c r="CF85" s="47">
        <f t="shared" si="46"/>
        <v>99.245199999999983</v>
      </c>
    </row>
    <row r="86" spans="1:84" ht="14.25" customHeight="1">
      <c r="A86" s="47">
        <v>79</v>
      </c>
      <c r="B86" s="47" t="s">
        <v>129</v>
      </c>
      <c r="C86" s="48">
        <v>404001</v>
      </c>
      <c r="D86" s="49" t="s">
        <v>213</v>
      </c>
      <c r="E86" s="49" t="s">
        <v>131</v>
      </c>
      <c r="F86" s="50">
        <f t="shared" si="47"/>
        <v>55</v>
      </c>
      <c r="G86" s="50">
        <v>33</v>
      </c>
      <c r="H86" s="50"/>
      <c r="I86" s="50">
        <v>16</v>
      </c>
      <c r="J86" s="50">
        <v>6</v>
      </c>
      <c r="K86" s="50"/>
      <c r="L86" s="50"/>
      <c r="M86" s="50"/>
      <c r="N86" s="50">
        <v>7</v>
      </c>
      <c r="O86" s="50">
        <f t="shared" si="48"/>
        <v>62</v>
      </c>
      <c r="P86" s="51">
        <f t="shared" si="35"/>
        <v>934.55700000000002</v>
      </c>
      <c r="Q86" s="51">
        <f t="shared" si="36"/>
        <v>592.48900000000003</v>
      </c>
      <c r="R86" s="47">
        <f t="shared" si="49"/>
        <v>175613</v>
      </c>
      <c r="S86" s="58">
        <v>111395</v>
      </c>
      <c r="T86" s="51">
        <v>64218</v>
      </c>
      <c r="U86" s="47">
        <f t="shared" si="50"/>
        <v>210.73560000000001</v>
      </c>
      <c r="V86" s="51">
        <f t="shared" si="2"/>
        <v>74.25</v>
      </c>
      <c r="W86" s="47">
        <f t="shared" si="51"/>
        <v>74.25</v>
      </c>
      <c r="X86" s="47"/>
      <c r="Y86" s="47"/>
      <c r="Z86" s="47"/>
      <c r="AA86" s="47"/>
      <c r="AB86" s="51">
        <f t="shared" si="52"/>
        <v>95.830699999999993</v>
      </c>
      <c r="AC86" s="47">
        <f t="shared" si="53"/>
        <v>11.1395</v>
      </c>
      <c r="AD86" s="47"/>
      <c r="AE86" s="47"/>
      <c r="AF86" s="47">
        <f t="shared" si="54"/>
        <v>84.691199999999995</v>
      </c>
      <c r="AG86" s="47">
        <v>70576</v>
      </c>
      <c r="AH86" s="47"/>
      <c r="AI86" s="47">
        <f t="shared" si="55"/>
        <v>56.98</v>
      </c>
      <c r="AJ86" s="53">
        <f t="shared" si="56"/>
        <v>70.047399999999996</v>
      </c>
      <c r="AK86" s="53">
        <f t="shared" si="57"/>
        <v>700474</v>
      </c>
      <c r="AL86" s="47"/>
      <c r="AM86" s="47">
        <f t="shared" si="37"/>
        <v>29.119599999999998</v>
      </c>
      <c r="AN86" s="47">
        <f t="shared" si="38"/>
        <v>27.409700000000001</v>
      </c>
      <c r="AO86" s="47">
        <f t="shared" si="58"/>
        <v>274097</v>
      </c>
      <c r="AP86" s="47">
        <f t="shared" si="39"/>
        <v>1.7098</v>
      </c>
      <c r="AQ86" s="47">
        <f t="shared" si="59"/>
        <v>17098</v>
      </c>
      <c r="AR86" s="47"/>
      <c r="AS86" s="47">
        <f t="shared" si="60"/>
        <v>2.9901</v>
      </c>
      <c r="AT86" s="47">
        <f t="shared" si="40"/>
        <v>2.0518000000000001</v>
      </c>
      <c r="AU86" s="47">
        <f t="shared" si="61"/>
        <v>20518</v>
      </c>
      <c r="AV86" s="47">
        <f t="shared" si="41"/>
        <v>0.93830000000000002</v>
      </c>
      <c r="AW86" s="47">
        <f t="shared" si="62"/>
        <v>9383</v>
      </c>
      <c r="AX86" s="47">
        <f t="shared" si="42"/>
        <v>52.535600000000002</v>
      </c>
      <c r="AY86" s="47"/>
      <c r="AZ86" s="47"/>
      <c r="BA86" s="54">
        <v>1E-4</v>
      </c>
      <c r="BB86" s="55" t="s">
        <v>213</v>
      </c>
      <c r="BC86" s="51">
        <f t="shared" si="63"/>
        <v>342.06799999999998</v>
      </c>
      <c r="BD86" s="47">
        <f t="shared" si="33"/>
        <v>60.72</v>
      </c>
      <c r="BE86" s="47">
        <f t="shared" si="64"/>
        <v>36.347999999999999</v>
      </c>
      <c r="BF86" s="47">
        <v>30290</v>
      </c>
      <c r="BG86" s="56">
        <v>227</v>
      </c>
      <c r="BH86" s="47">
        <v>18</v>
      </c>
      <c r="BI86" s="51">
        <f t="shared" si="43"/>
        <v>0</v>
      </c>
      <c r="BJ86" s="51">
        <f t="shared" si="44"/>
        <v>0</v>
      </c>
      <c r="BK86" s="47"/>
      <c r="BL86" s="47"/>
      <c r="BM86" s="47"/>
      <c r="BN86" s="47"/>
      <c r="BO86" s="47"/>
      <c r="BP86" s="47"/>
      <c r="BQ86" s="47"/>
      <c r="BR86" s="47"/>
      <c r="BS86" s="53"/>
      <c r="BT86" s="47"/>
      <c r="BU86" s="47"/>
      <c r="BV86" s="47"/>
      <c r="BW86" s="47"/>
      <c r="BX86" s="47">
        <v>61</v>
      </c>
      <c r="BY86" s="47"/>
      <c r="BZ86" s="47"/>
      <c r="CA86" s="47"/>
      <c r="CB86" s="54">
        <f t="shared" si="45"/>
        <v>995.55700000000002</v>
      </c>
      <c r="CC86" s="47">
        <v>126.26</v>
      </c>
      <c r="CD86" s="57"/>
      <c r="CE86" s="47"/>
      <c r="CF86" s="47">
        <f t="shared" si="46"/>
        <v>1121.817</v>
      </c>
    </row>
    <row r="87" spans="1:84" ht="14.25" customHeight="1">
      <c r="A87" s="47">
        <v>80</v>
      </c>
      <c r="B87" s="47" t="s">
        <v>129</v>
      </c>
      <c r="C87" s="48">
        <v>402001</v>
      </c>
      <c r="D87" s="49" t="s">
        <v>214</v>
      </c>
      <c r="E87" s="49" t="s">
        <v>131</v>
      </c>
      <c r="F87" s="50">
        <f t="shared" si="47"/>
        <v>60</v>
      </c>
      <c r="G87" s="50">
        <v>17</v>
      </c>
      <c r="H87" s="50">
        <v>1</v>
      </c>
      <c r="I87" s="50">
        <v>42</v>
      </c>
      <c r="J87" s="50"/>
      <c r="K87" s="50"/>
      <c r="L87" s="50"/>
      <c r="M87" s="50"/>
      <c r="N87" s="50">
        <v>43</v>
      </c>
      <c r="O87" s="50">
        <f t="shared" si="48"/>
        <v>103</v>
      </c>
      <c r="P87" s="51">
        <f t="shared" si="35"/>
        <v>2478.2260000000001</v>
      </c>
      <c r="Q87" s="51">
        <f t="shared" si="36"/>
        <v>829.25400000000013</v>
      </c>
      <c r="R87" s="47">
        <f t="shared" si="49"/>
        <v>198591</v>
      </c>
      <c r="S87" s="58">
        <v>72544</v>
      </c>
      <c r="T87" s="51">
        <v>126047</v>
      </c>
      <c r="U87" s="47">
        <f t="shared" si="50"/>
        <v>238.3092</v>
      </c>
      <c r="V87" s="51">
        <f t="shared" si="2"/>
        <v>40.5</v>
      </c>
      <c r="W87" s="47">
        <f t="shared" si="51"/>
        <v>40.5</v>
      </c>
      <c r="X87" s="47"/>
      <c r="Y87" s="47"/>
      <c r="Z87" s="47"/>
      <c r="AA87" s="47"/>
      <c r="AB87" s="51">
        <f t="shared" si="52"/>
        <v>100.21600000000001</v>
      </c>
      <c r="AC87" s="47">
        <f t="shared" si="53"/>
        <v>7.2544000000000004</v>
      </c>
      <c r="AD87" s="47"/>
      <c r="AE87" s="47"/>
      <c r="AF87" s="47">
        <f t="shared" si="54"/>
        <v>92.961600000000004</v>
      </c>
      <c r="AG87" s="47">
        <v>77468</v>
      </c>
      <c r="AH87" s="47"/>
      <c r="AI87" s="47">
        <f t="shared" si="55"/>
        <v>108.78</v>
      </c>
      <c r="AJ87" s="53">
        <f t="shared" si="56"/>
        <v>78.0488</v>
      </c>
      <c r="AK87" s="53">
        <f t="shared" si="57"/>
        <v>780488</v>
      </c>
      <c r="AL87" s="47"/>
      <c r="AM87" s="47">
        <f t="shared" si="37"/>
        <v>33.267600000000002</v>
      </c>
      <c r="AN87" s="47">
        <f t="shared" si="38"/>
        <v>31.329599999999999</v>
      </c>
      <c r="AO87" s="47">
        <f t="shared" si="58"/>
        <v>313296</v>
      </c>
      <c r="AP87" s="47">
        <f t="shared" si="39"/>
        <v>1.9379</v>
      </c>
      <c r="AQ87" s="47">
        <f t="shared" si="59"/>
        <v>19379</v>
      </c>
      <c r="AR87" s="47"/>
      <c r="AS87" s="47">
        <f t="shared" si="60"/>
        <v>4.1458000000000004</v>
      </c>
      <c r="AT87" s="47">
        <f t="shared" si="40"/>
        <v>2.3254999999999999</v>
      </c>
      <c r="AU87" s="47">
        <f t="shared" si="61"/>
        <v>23255</v>
      </c>
      <c r="AV87" s="47">
        <f t="shared" si="41"/>
        <v>1.8203</v>
      </c>
      <c r="AW87" s="47">
        <f t="shared" si="62"/>
        <v>18203</v>
      </c>
      <c r="AX87" s="47">
        <f t="shared" si="42"/>
        <v>58.5366</v>
      </c>
      <c r="AY87" s="47"/>
      <c r="AZ87" s="47">
        <f>140+27.45</f>
        <v>167.45</v>
      </c>
      <c r="BA87" s="54">
        <v>1E-4</v>
      </c>
      <c r="BB87" s="55" t="s">
        <v>214</v>
      </c>
      <c r="BC87" s="51">
        <f t="shared" si="63"/>
        <v>361.77600000000001</v>
      </c>
      <c r="BD87" s="47">
        <f t="shared" si="33"/>
        <v>61.92</v>
      </c>
      <c r="BE87" s="47">
        <f t="shared" si="64"/>
        <v>23.856000000000002</v>
      </c>
      <c r="BF87" s="47">
        <v>19880</v>
      </c>
      <c r="BG87" s="56">
        <v>261</v>
      </c>
      <c r="BH87" s="47">
        <v>15</v>
      </c>
      <c r="BI87" s="51">
        <f t="shared" si="43"/>
        <v>1287.1959999999999</v>
      </c>
      <c r="BJ87" s="51">
        <f t="shared" si="44"/>
        <v>0</v>
      </c>
      <c r="BK87" s="47"/>
      <c r="BL87" s="47"/>
      <c r="BM87" s="47"/>
      <c r="BN87" s="47"/>
      <c r="BO87" s="47"/>
      <c r="BP87" s="68">
        <v>9.9359999999999999</v>
      </c>
      <c r="BQ87" s="47"/>
      <c r="BR87" s="47"/>
      <c r="BS87" s="53"/>
      <c r="BT87" s="47"/>
      <c r="BU87" s="47"/>
      <c r="BV87" s="47"/>
      <c r="BW87" s="47">
        <f>1444.71-167.45</f>
        <v>1277.26</v>
      </c>
      <c r="BX87" s="47">
        <v>524.58000000000004</v>
      </c>
      <c r="BY87" s="47"/>
      <c r="BZ87" s="47"/>
      <c r="CA87" s="47"/>
      <c r="CB87" s="54">
        <f t="shared" si="45"/>
        <v>3002.806</v>
      </c>
      <c r="CC87" s="47">
        <v>273.10000000000002</v>
      </c>
      <c r="CD87" s="57"/>
      <c r="CE87" s="47"/>
      <c r="CF87" s="47">
        <f t="shared" si="46"/>
        <v>3275.9059999999999</v>
      </c>
    </row>
    <row r="88" spans="1:84" ht="14.25" customHeight="1">
      <c r="A88" s="47">
        <v>81</v>
      </c>
      <c r="B88" s="47" t="s">
        <v>129</v>
      </c>
      <c r="C88" s="48">
        <v>408001</v>
      </c>
      <c r="D88" s="49" t="s">
        <v>215</v>
      </c>
      <c r="E88" s="49" t="s">
        <v>143</v>
      </c>
      <c r="F88" s="50">
        <f t="shared" si="47"/>
        <v>9</v>
      </c>
      <c r="G88" s="50">
        <v>6</v>
      </c>
      <c r="H88" s="50">
        <v>3</v>
      </c>
      <c r="I88" s="50"/>
      <c r="J88" s="50"/>
      <c r="K88" s="50"/>
      <c r="L88" s="50"/>
      <c r="M88" s="50"/>
      <c r="N88" s="50">
        <v>5</v>
      </c>
      <c r="O88" s="50">
        <f t="shared" si="48"/>
        <v>14</v>
      </c>
      <c r="P88" s="51">
        <f t="shared" si="35"/>
        <v>144.50830000000002</v>
      </c>
      <c r="Q88" s="51">
        <f t="shared" si="36"/>
        <v>95.648300000000006</v>
      </c>
      <c r="R88" s="47">
        <f t="shared" si="49"/>
        <v>27786</v>
      </c>
      <c r="S88" s="58">
        <v>27786</v>
      </c>
      <c r="T88" s="51"/>
      <c r="U88" s="47">
        <f t="shared" si="50"/>
        <v>33.343200000000003</v>
      </c>
      <c r="V88" s="51">
        <f t="shared" si="2"/>
        <v>20.25</v>
      </c>
      <c r="W88" s="47">
        <f t="shared" si="51"/>
        <v>20.25</v>
      </c>
      <c r="X88" s="47"/>
      <c r="Y88" s="47"/>
      <c r="Z88" s="47"/>
      <c r="AA88" s="47"/>
      <c r="AB88" s="51">
        <f t="shared" si="52"/>
        <v>17.2926</v>
      </c>
      <c r="AC88" s="47">
        <f t="shared" si="53"/>
        <v>2.7786</v>
      </c>
      <c r="AD88" s="47"/>
      <c r="AE88" s="47"/>
      <c r="AF88" s="47">
        <f t="shared" si="54"/>
        <v>14.513999999999999</v>
      </c>
      <c r="AG88" s="47">
        <v>12095</v>
      </c>
      <c r="AH88" s="47"/>
      <c r="AI88" s="47">
        <f t="shared" si="55"/>
        <v>0</v>
      </c>
      <c r="AJ88" s="53">
        <f t="shared" si="56"/>
        <v>11.341699999999999</v>
      </c>
      <c r="AK88" s="53">
        <f t="shared" si="57"/>
        <v>113417</v>
      </c>
      <c r="AL88" s="47"/>
      <c r="AM88" s="47">
        <f t="shared" si="37"/>
        <v>4.5929000000000002</v>
      </c>
      <c r="AN88" s="47">
        <f t="shared" si="38"/>
        <v>4.3250000000000002</v>
      </c>
      <c r="AO88" s="47">
        <f t="shared" si="58"/>
        <v>43250</v>
      </c>
      <c r="AP88" s="47">
        <f t="shared" si="39"/>
        <v>0.26800000000000002</v>
      </c>
      <c r="AQ88" s="47">
        <f t="shared" si="59"/>
        <v>2680</v>
      </c>
      <c r="AR88" s="47"/>
      <c r="AS88" s="47">
        <f t="shared" si="60"/>
        <v>0.3216</v>
      </c>
      <c r="AT88" s="47">
        <f t="shared" si="40"/>
        <v>0.3216</v>
      </c>
      <c r="AU88" s="47">
        <f t="shared" si="61"/>
        <v>3216</v>
      </c>
      <c r="AV88" s="47">
        <f t="shared" si="41"/>
        <v>0</v>
      </c>
      <c r="AW88" s="47">
        <f t="shared" si="62"/>
        <v>0</v>
      </c>
      <c r="AX88" s="47">
        <f t="shared" si="42"/>
        <v>8.5062999999999995</v>
      </c>
      <c r="AY88" s="47"/>
      <c r="AZ88" s="47"/>
      <c r="BA88" s="54">
        <v>1E-4</v>
      </c>
      <c r="BB88" s="55" t="s">
        <v>215</v>
      </c>
      <c r="BC88" s="51">
        <f t="shared" si="63"/>
        <v>48.86</v>
      </c>
      <c r="BD88" s="47">
        <f t="shared" si="33"/>
        <v>10.799999999999999</v>
      </c>
      <c r="BE88" s="47">
        <f t="shared" si="64"/>
        <v>6.06</v>
      </c>
      <c r="BF88" s="47">
        <v>5050</v>
      </c>
      <c r="BG88" s="56">
        <v>32</v>
      </c>
      <c r="BH88" s="47"/>
      <c r="BI88" s="51">
        <f t="shared" si="43"/>
        <v>0</v>
      </c>
      <c r="BJ88" s="51">
        <f t="shared" si="44"/>
        <v>0</v>
      </c>
      <c r="BK88" s="47"/>
      <c r="BL88" s="47"/>
      <c r="BM88" s="47"/>
      <c r="BN88" s="47"/>
      <c r="BO88" s="47"/>
      <c r="BP88" s="47"/>
      <c r="BQ88" s="47"/>
      <c r="BR88" s="47"/>
      <c r="BS88" s="53"/>
      <c r="BT88" s="47"/>
      <c r="BU88" s="47"/>
      <c r="BV88" s="47"/>
      <c r="BW88" s="47"/>
      <c r="BX88" s="47">
        <v>230</v>
      </c>
      <c r="BY88" s="47"/>
      <c r="BZ88" s="47"/>
      <c r="CA88" s="47"/>
      <c r="CB88" s="54">
        <f t="shared" si="45"/>
        <v>374.50830000000002</v>
      </c>
      <c r="CC88" s="47">
        <v>140.19999999999999</v>
      </c>
      <c r="CD88" s="57"/>
      <c r="CE88" s="47"/>
      <c r="CF88" s="47">
        <f t="shared" si="46"/>
        <v>514.70830000000001</v>
      </c>
    </row>
    <row r="89" spans="1:84" ht="14.25" customHeight="1">
      <c r="A89" s="47">
        <v>82</v>
      </c>
      <c r="B89" s="47" t="s">
        <v>129</v>
      </c>
      <c r="C89" s="48">
        <v>409001</v>
      </c>
      <c r="D89" s="49" t="s">
        <v>216</v>
      </c>
      <c r="E89" s="49" t="s">
        <v>131</v>
      </c>
      <c r="F89" s="50">
        <f t="shared" si="47"/>
        <v>25</v>
      </c>
      <c r="G89" s="50">
        <v>6</v>
      </c>
      <c r="H89" s="50"/>
      <c r="I89" s="50">
        <v>19</v>
      </c>
      <c r="J89" s="50"/>
      <c r="K89" s="50"/>
      <c r="L89" s="50"/>
      <c r="M89" s="50"/>
      <c r="N89" s="50">
        <v>1</v>
      </c>
      <c r="O89" s="50">
        <f t="shared" si="48"/>
        <v>26</v>
      </c>
      <c r="P89" s="51">
        <f t="shared" si="35"/>
        <v>4051.0226000000002</v>
      </c>
      <c r="Q89" s="51">
        <f t="shared" si="36"/>
        <v>274.4726</v>
      </c>
      <c r="R89" s="47">
        <f t="shared" si="49"/>
        <v>82887</v>
      </c>
      <c r="S89" s="58">
        <v>20746</v>
      </c>
      <c r="T89" s="51">
        <v>62141</v>
      </c>
      <c r="U89" s="47">
        <f t="shared" si="50"/>
        <v>99.464399999999998</v>
      </c>
      <c r="V89" s="51">
        <f t="shared" si="2"/>
        <v>13.5</v>
      </c>
      <c r="W89" s="47">
        <f t="shared" si="51"/>
        <v>13.5</v>
      </c>
      <c r="X89" s="47"/>
      <c r="Y89" s="47"/>
      <c r="Z89" s="47"/>
      <c r="AA89" s="47"/>
      <c r="AB89" s="51">
        <f t="shared" si="52"/>
        <v>40.045000000000002</v>
      </c>
      <c r="AC89" s="47">
        <f t="shared" si="53"/>
        <v>2.0746000000000002</v>
      </c>
      <c r="AD89" s="47"/>
      <c r="AE89" s="47"/>
      <c r="AF89" s="47">
        <f t="shared" si="54"/>
        <v>37.970399999999998</v>
      </c>
      <c r="AG89" s="47">
        <v>31642</v>
      </c>
      <c r="AH89" s="47"/>
      <c r="AI89" s="47">
        <f t="shared" si="55"/>
        <v>49.21</v>
      </c>
      <c r="AJ89" s="53">
        <f t="shared" si="56"/>
        <v>32.3551</v>
      </c>
      <c r="AK89" s="53">
        <f t="shared" si="57"/>
        <v>323551</v>
      </c>
      <c r="AL89" s="47"/>
      <c r="AM89" s="47">
        <f t="shared" si="37"/>
        <v>13.792299999999999</v>
      </c>
      <c r="AN89" s="47">
        <f t="shared" si="38"/>
        <v>12.9815</v>
      </c>
      <c r="AO89" s="47">
        <f t="shared" si="58"/>
        <v>129815</v>
      </c>
      <c r="AP89" s="47">
        <f t="shared" si="39"/>
        <v>0.81089999999999995</v>
      </c>
      <c r="AQ89" s="47">
        <f t="shared" si="59"/>
        <v>8108.9999999999991</v>
      </c>
      <c r="AR89" s="47"/>
      <c r="AS89" s="47">
        <f t="shared" si="60"/>
        <v>1.8394999999999999</v>
      </c>
      <c r="AT89" s="47">
        <f t="shared" si="40"/>
        <v>0.97299999999999998</v>
      </c>
      <c r="AU89" s="47">
        <f t="shared" si="61"/>
        <v>9730</v>
      </c>
      <c r="AV89" s="47">
        <f t="shared" si="41"/>
        <v>0.86650000000000005</v>
      </c>
      <c r="AW89" s="47">
        <f t="shared" si="62"/>
        <v>8665</v>
      </c>
      <c r="AX89" s="47">
        <f t="shared" si="42"/>
        <v>24.266300000000001</v>
      </c>
      <c r="AY89" s="47"/>
      <c r="AZ89" s="47"/>
      <c r="BA89" s="54">
        <v>1E-4</v>
      </c>
      <c r="BB89" s="55" t="s">
        <v>216</v>
      </c>
      <c r="BC89" s="51">
        <f t="shared" si="63"/>
        <v>211.82</v>
      </c>
      <c r="BD89" s="47">
        <f t="shared" si="33"/>
        <v>25.439999999999998</v>
      </c>
      <c r="BE89" s="47">
        <f t="shared" si="64"/>
        <v>4.38</v>
      </c>
      <c r="BF89" s="47">
        <v>3650</v>
      </c>
      <c r="BG89" s="56">
        <v>182</v>
      </c>
      <c r="BH89" s="47"/>
      <c r="BI89" s="51">
        <f t="shared" si="43"/>
        <v>3564.73</v>
      </c>
      <c r="BJ89" s="51">
        <f t="shared" si="44"/>
        <v>0</v>
      </c>
      <c r="BK89" s="47"/>
      <c r="BL89" s="47"/>
      <c r="BM89" s="47"/>
      <c r="BN89" s="47"/>
      <c r="BO89" s="47"/>
      <c r="BP89" s="47"/>
      <c r="BQ89" s="47"/>
      <c r="BR89" s="47">
        <v>620</v>
      </c>
      <c r="BS89" s="53"/>
      <c r="BT89" s="47"/>
      <c r="BU89" s="47"/>
      <c r="BV89" s="47"/>
      <c r="BW89" s="67">
        <f>3564.73-620</f>
        <v>2944.73</v>
      </c>
      <c r="BX89" s="47">
        <v>20</v>
      </c>
      <c r="BY89" s="47"/>
      <c r="BZ89" s="47"/>
      <c r="CA89" s="47"/>
      <c r="CB89" s="54">
        <f t="shared" si="45"/>
        <v>4071.0226000000002</v>
      </c>
      <c r="CC89" s="47"/>
      <c r="CD89" s="57"/>
      <c r="CE89" s="47"/>
      <c r="CF89" s="47">
        <f t="shared" si="46"/>
        <v>4071.0226000000002</v>
      </c>
    </row>
    <row r="90" spans="1:84" ht="14.25" customHeight="1">
      <c r="A90" s="47">
        <v>83</v>
      </c>
      <c r="B90" s="47" t="s">
        <v>129</v>
      </c>
      <c r="C90" s="48">
        <v>406001</v>
      </c>
      <c r="D90" s="49" t="s">
        <v>217</v>
      </c>
      <c r="E90" s="49" t="s">
        <v>150</v>
      </c>
      <c r="F90" s="50">
        <f t="shared" si="47"/>
        <v>12</v>
      </c>
      <c r="G90" s="50"/>
      <c r="H90" s="50"/>
      <c r="I90" s="50">
        <v>12</v>
      </c>
      <c r="J90" s="50"/>
      <c r="K90" s="50"/>
      <c r="L90" s="50"/>
      <c r="M90" s="50"/>
      <c r="N90" s="50">
        <v>91</v>
      </c>
      <c r="O90" s="50">
        <f t="shared" si="48"/>
        <v>103</v>
      </c>
      <c r="P90" s="51">
        <f t="shared" si="35"/>
        <v>287.18180000000001</v>
      </c>
      <c r="Q90" s="51">
        <f t="shared" si="36"/>
        <v>167.92580000000001</v>
      </c>
      <c r="R90" s="47">
        <f t="shared" si="49"/>
        <v>61863</v>
      </c>
      <c r="S90" s="58"/>
      <c r="T90" s="51">
        <v>61863</v>
      </c>
      <c r="U90" s="47">
        <f t="shared" si="50"/>
        <v>74.235600000000005</v>
      </c>
      <c r="V90" s="51">
        <f t="shared" si="2"/>
        <v>0</v>
      </c>
      <c r="W90" s="47">
        <f t="shared" si="51"/>
        <v>0</v>
      </c>
      <c r="X90" s="47"/>
      <c r="Y90" s="47"/>
      <c r="Z90" s="47"/>
      <c r="AA90" s="47"/>
      <c r="AB90" s="51">
        <f t="shared" si="52"/>
        <v>17.28</v>
      </c>
      <c r="AC90" s="47">
        <f t="shared" si="53"/>
        <v>0</v>
      </c>
      <c r="AD90" s="47"/>
      <c r="AE90" s="47"/>
      <c r="AF90" s="47">
        <f t="shared" si="54"/>
        <v>17.28</v>
      </c>
      <c r="AG90" s="47">
        <v>14400</v>
      </c>
      <c r="AH90" s="47"/>
      <c r="AI90" s="47">
        <f t="shared" si="55"/>
        <v>31.08</v>
      </c>
      <c r="AJ90" s="53">
        <f t="shared" si="56"/>
        <v>19.615300000000001</v>
      </c>
      <c r="AK90" s="53">
        <f t="shared" si="57"/>
        <v>196153</v>
      </c>
      <c r="AL90" s="47"/>
      <c r="AM90" s="47">
        <f t="shared" si="37"/>
        <v>9.6342999999999996</v>
      </c>
      <c r="AN90" s="47">
        <f t="shared" si="38"/>
        <v>9.1076999999999995</v>
      </c>
      <c r="AO90" s="47">
        <f t="shared" si="58"/>
        <v>91077</v>
      </c>
      <c r="AP90" s="47">
        <f t="shared" si="39"/>
        <v>0.52659999999999996</v>
      </c>
      <c r="AQ90" s="47">
        <f t="shared" si="59"/>
        <v>5266</v>
      </c>
      <c r="AR90" s="47"/>
      <c r="AS90" s="47">
        <f t="shared" si="60"/>
        <v>1.3691</v>
      </c>
      <c r="AT90" s="47">
        <f t="shared" si="40"/>
        <v>0.63190000000000002</v>
      </c>
      <c r="AU90" s="47">
        <f t="shared" si="61"/>
        <v>6319</v>
      </c>
      <c r="AV90" s="47">
        <f t="shared" si="41"/>
        <v>0.73719999999999997</v>
      </c>
      <c r="AW90" s="47">
        <f t="shared" si="62"/>
        <v>7372</v>
      </c>
      <c r="AX90" s="47">
        <f t="shared" si="42"/>
        <v>14.711499999999999</v>
      </c>
      <c r="AY90" s="47"/>
      <c r="AZ90" s="47"/>
      <c r="BA90" s="54">
        <v>1E-4</v>
      </c>
      <c r="BB90" s="55" t="s">
        <v>217</v>
      </c>
      <c r="BC90" s="51">
        <f t="shared" si="63"/>
        <v>111.94800000000001</v>
      </c>
      <c r="BD90" s="47">
        <f t="shared" si="33"/>
        <v>11.52</v>
      </c>
      <c r="BE90" s="47">
        <f t="shared" si="64"/>
        <v>11.928000000000001</v>
      </c>
      <c r="BF90" s="47">
        <v>9940</v>
      </c>
      <c r="BG90" s="56">
        <v>88.5</v>
      </c>
      <c r="BH90" s="47"/>
      <c r="BI90" s="51">
        <f t="shared" si="43"/>
        <v>7.3079999999999998</v>
      </c>
      <c r="BJ90" s="51">
        <f t="shared" si="44"/>
        <v>0</v>
      </c>
      <c r="BK90" s="68"/>
      <c r="BL90" s="68"/>
      <c r="BM90" s="47"/>
      <c r="BN90" s="47"/>
      <c r="BO90" s="47"/>
      <c r="BP90" s="68">
        <v>7.3079999999999998</v>
      </c>
      <c r="BQ90" s="47"/>
      <c r="BR90" s="47"/>
      <c r="BS90" s="53"/>
      <c r="BT90" s="47"/>
      <c r="BU90" s="47"/>
      <c r="BV90" s="47"/>
      <c r="BW90" s="47"/>
      <c r="BX90" s="47"/>
      <c r="BY90" s="47"/>
      <c r="BZ90" s="47"/>
      <c r="CA90" s="47"/>
      <c r="CB90" s="54">
        <f t="shared" si="45"/>
        <v>287.18180000000001</v>
      </c>
      <c r="CC90" s="47"/>
      <c r="CD90" s="57"/>
      <c r="CE90" s="47"/>
      <c r="CF90" s="47">
        <f t="shared" si="46"/>
        <v>287.18180000000001</v>
      </c>
    </row>
    <row r="91" spans="1:84" ht="14.25" customHeight="1">
      <c r="A91" s="47">
        <v>84</v>
      </c>
      <c r="B91" s="47" t="s">
        <v>129</v>
      </c>
      <c r="C91" s="48">
        <v>403001</v>
      </c>
      <c r="D91" s="49" t="s">
        <v>218</v>
      </c>
      <c r="E91" s="49" t="s">
        <v>131</v>
      </c>
      <c r="F91" s="50">
        <f t="shared" si="47"/>
        <v>42</v>
      </c>
      <c r="G91" s="50">
        <v>25</v>
      </c>
      <c r="H91" s="50">
        <v>3</v>
      </c>
      <c r="I91" s="50">
        <v>14</v>
      </c>
      <c r="J91" s="50"/>
      <c r="K91" s="50"/>
      <c r="L91" s="50"/>
      <c r="M91" s="50"/>
      <c r="N91" s="50">
        <v>41</v>
      </c>
      <c r="O91" s="50">
        <f t="shared" si="48"/>
        <v>83</v>
      </c>
      <c r="P91" s="51">
        <f t="shared" si="35"/>
        <v>3580.9603999999999</v>
      </c>
      <c r="Q91" s="51">
        <f t="shared" si="36"/>
        <v>2336.2352000000001</v>
      </c>
      <c r="R91" s="47">
        <f t="shared" si="49"/>
        <v>161157</v>
      </c>
      <c r="S91" s="58">
        <v>113023</v>
      </c>
      <c r="T91" s="51">
        <v>48134</v>
      </c>
      <c r="U91" s="47">
        <f t="shared" si="50"/>
        <v>193.38839999999999</v>
      </c>
      <c r="V91" s="51">
        <f t="shared" si="2"/>
        <v>148.78</v>
      </c>
      <c r="W91" s="47">
        <f t="shared" si="51"/>
        <v>63</v>
      </c>
      <c r="X91" s="47"/>
      <c r="Y91" s="67">
        <v>85.78</v>
      </c>
      <c r="Z91" s="47"/>
      <c r="AA91" s="47"/>
      <c r="AB91" s="51">
        <f t="shared" si="52"/>
        <v>81.526300000000006</v>
      </c>
      <c r="AC91" s="47">
        <f t="shared" si="53"/>
        <v>11.302300000000001</v>
      </c>
      <c r="AD91" s="47"/>
      <c r="AE91" s="47"/>
      <c r="AF91" s="47">
        <f t="shared" si="54"/>
        <v>70.224000000000004</v>
      </c>
      <c r="AG91" s="47">
        <v>58520</v>
      </c>
      <c r="AH91" s="47"/>
      <c r="AI91" s="47">
        <f t="shared" si="55"/>
        <v>36.26</v>
      </c>
      <c r="AJ91" s="53">
        <f t="shared" si="56"/>
        <v>59.868000000000002</v>
      </c>
      <c r="AK91" s="53">
        <f t="shared" si="57"/>
        <v>598680</v>
      </c>
      <c r="AL91" s="67"/>
      <c r="AM91" s="47">
        <f>ROUND(((U91+W91+AI91)*0.085+N91*0.0075),4)+3.9149</f>
        <v>29.0975</v>
      </c>
      <c r="AN91" s="47">
        <f t="shared" si="38"/>
        <v>23.7194</v>
      </c>
      <c r="AO91" s="47">
        <f t="shared" si="58"/>
        <v>237194</v>
      </c>
      <c r="AP91" s="47">
        <f t="shared" si="39"/>
        <v>1.4632000000000001</v>
      </c>
      <c r="AQ91" s="47">
        <f t="shared" si="59"/>
        <v>14632</v>
      </c>
      <c r="AR91" s="47"/>
      <c r="AS91" s="47">
        <f t="shared" si="60"/>
        <v>2.4140000000000001</v>
      </c>
      <c r="AT91" s="47">
        <f t="shared" si="40"/>
        <v>1.7559</v>
      </c>
      <c r="AU91" s="47">
        <f t="shared" si="61"/>
        <v>17559</v>
      </c>
      <c r="AV91" s="47">
        <f t="shared" si="41"/>
        <v>0.65810000000000002</v>
      </c>
      <c r="AW91" s="47">
        <f t="shared" si="62"/>
        <v>6581</v>
      </c>
      <c r="AX91" s="47">
        <f t="shared" si="42"/>
        <v>44.901000000000003</v>
      </c>
      <c r="AY91" s="47"/>
      <c r="AZ91" s="67">
        <v>1740</v>
      </c>
      <c r="BA91" s="54">
        <v>1E-4</v>
      </c>
      <c r="BB91" s="55" t="s">
        <v>218</v>
      </c>
      <c r="BC91" s="51">
        <f t="shared" si="63"/>
        <v>427.71199999999999</v>
      </c>
      <c r="BD91" s="47">
        <f t="shared" si="33"/>
        <v>47.04</v>
      </c>
      <c r="BE91" s="47">
        <f t="shared" si="64"/>
        <v>27.672000000000001</v>
      </c>
      <c r="BF91" s="47">
        <v>23060</v>
      </c>
      <c r="BG91" s="56">
        <v>353</v>
      </c>
      <c r="BH91" s="47"/>
      <c r="BI91" s="51">
        <f t="shared" si="43"/>
        <v>817.01319999999998</v>
      </c>
      <c r="BJ91" s="51">
        <f t="shared" si="44"/>
        <v>0</v>
      </c>
      <c r="BK91" s="47"/>
      <c r="BL91" s="47"/>
      <c r="BM91" s="47"/>
      <c r="BN91" s="47"/>
      <c r="BO91" s="47"/>
      <c r="BP91" s="68">
        <v>3.4632000000000001</v>
      </c>
      <c r="BQ91" s="47"/>
      <c r="BR91" s="47"/>
      <c r="BS91" s="53"/>
      <c r="BT91" s="47"/>
      <c r="BU91" s="47"/>
      <c r="BV91" s="47"/>
      <c r="BW91" s="68">
        <f>783.55+30</f>
        <v>813.55</v>
      </c>
      <c r="BX91" s="47">
        <f>1948.34+190+50</f>
        <v>2188.34</v>
      </c>
      <c r="BY91" s="47"/>
      <c r="BZ91" s="47"/>
      <c r="CA91" s="47"/>
      <c r="CB91" s="54">
        <f t="shared" si="45"/>
        <v>5769.3004000000001</v>
      </c>
      <c r="CC91" s="47"/>
      <c r="CD91" s="57"/>
      <c r="CE91" s="47"/>
      <c r="CF91" s="47">
        <f t="shared" si="46"/>
        <v>5769.3004000000001</v>
      </c>
    </row>
    <row r="92" spans="1:84" ht="14.25" customHeight="1">
      <c r="A92" s="47">
        <v>85</v>
      </c>
      <c r="B92" s="47" t="s">
        <v>129</v>
      </c>
      <c r="C92" s="48">
        <v>415001</v>
      </c>
      <c r="D92" s="49" t="s">
        <v>219</v>
      </c>
      <c r="E92" s="49" t="s">
        <v>150</v>
      </c>
      <c r="F92" s="50">
        <f t="shared" si="47"/>
        <v>76</v>
      </c>
      <c r="G92" s="50"/>
      <c r="H92" s="50"/>
      <c r="I92" s="50">
        <v>76</v>
      </c>
      <c r="J92" s="50"/>
      <c r="K92" s="50"/>
      <c r="L92" s="50"/>
      <c r="M92" s="50"/>
      <c r="N92" s="50">
        <v>29</v>
      </c>
      <c r="O92" s="50">
        <f t="shared" si="48"/>
        <v>105</v>
      </c>
      <c r="P92" s="51">
        <f t="shared" si="35"/>
        <v>805.80809999999997</v>
      </c>
      <c r="Q92" s="51">
        <f t="shared" si="36"/>
        <v>731.19209999999998</v>
      </c>
      <c r="R92" s="47">
        <f t="shared" si="49"/>
        <v>261718</v>
      </c>
      <c r="S92" s="58"/>
      <c r="T92" s="51">
        <v>261718</v>
      </c>
      <c r="U92" s="47">
        <v>314.06240000000003</v>
      </c>
      <c r="V92" s="51">
        <f t="shared" si="2"/>
        <v>0</v>
      </c>
      <c r="W92" s="47">
        <f t="shared" si="51"/>
        <v>0</v>
      </c>
      <c r="X92" s="47"/>
      <c r="Y92" s="47"/>
      <c r="Z92" s="47"/>
      <c r="AA92" s="47"/>
      <c r="AB92" s="51">
        <f t="shared" si="52"/>
        <v>0</v>
      </c>
      <c r="AC92" s="47">
        <f t="shared" si="53"/>
        <v>0</v>
      </c>
      <c r="AD92" s="47"/>
      <c r="AE92" s="47"/>
      <c r="AF92" s="47"/>
      <c r="AG92" s="47">
        <v>91200</v>
      </c>
      <c r="AH92" s="47"/>
      <c r="AI92" s="47">
        <v>195.286</v>
      </c>
      <c r="AJ92" s="53">
        <v>98.29</v>
      </c>
      <c r="AK92" s="53">
        <v>992318</v>
      </c>
      <c r="AL92" s="47"/>
      <c r="AM92" s="47">
        <v>43.254100000000001</v>
      </c>
      <c r="AN92" s="47">
        <v>40.722499999999997</v>
      </c>
      <c r="AO92" s="47">
        <v>410782</v>
      </c>
      <c r="AP92" s="47">
        <v>2.5316000000000001</v>
      </c>
      <c r="AQ92" s="47">
        <v>25538</v>
      </c>
      <c r="AR92" s="47"/>
      <c r="AS92" s="47">
        <v>6.5820999999999996</v>
      </c>
      <c r="AT92" s="47">
        <v>3.0379</v>
      </c>
      <c r="AU92" s="47">
        <v>30646</v>
      </c>
      <c r="AV92" s="47">
        <v>3.5442</v>
      </c>
      <c r="AW92" s="47">
        <v>35753</v>
      </c>
      <c r="AX92" s="47">
        <v>73.717500000000001</v>
      </c>
      <c r="AY92" s="47"/>
      <c r="AZ92" s="47"/>
      <c r="BA92" s="54">
        <v>1E-4</v>
      </c>
      <c r="BB92" s="55" t="s">
        <v>219</v>
      </c>
      <c r="BC92" s="51">
        <f t="shared" si="63"/>
        <v>72.959999999999994</v>
      </c>
      <c r="BD92" s="47">
        <f t="shared" si="33"/>
        <v>72.959999999999994</v>
      </c>
      <c r="BE92" s="47">
        <f t="shared" si="64"/>
        <v>0</v>
      </c>
      <c r="BF92" s="47"/>
      <c r="BG92" s="56"/>
      <c r="BH92" s="47"/>
      <c r="BI92" s="51">
        <f t="shared" si="43"/>
        <v>1.6559999999999999</v>
      </c>
      <c r="BJ92" s="51">
        <f t="shared" si="44"/>
        <v>0</v>
      </c>
      <c r="BK92" s="47"/>
      <c r="BL92" s="47"/>
      <c r="BM92" s="47"/>
      <c r="BN92" s="47"/>
      <c r="BO92" s="47"/>
      <c r="BP92" s="68">
        <v>1.6559999999999999</v>
      </c>
      <c r="BQ92" s="47"/>
      <c r="BR92" s="47"/>
      <c r="BS92" s="53"/>
      <c r="BT92" s="47"/>
      <c r="BU92" s="47"/>
      <c r="BV92" s="47"/>
      <c r="BW92" s="47"/>
      <c r="BX92" s="47">
        <v>287</v>
      </c>
      <c r="BY92" s="47"/>
      <c r="BZ92" s="47"/>
      <c r="CA92" s="47"/>
      <c r="CB92" s="54">
        <f t="shared" si="45"/>
        <v>1092.8081</v>
      </c>
      <c r="CC92" s="47"/>
      <c r="CD92" s="57"/>
      <c r="CE92" s="47">
        <v>1569</v>
      </c>
      <c r="CF92" s="47">
        <f t="shared" si="46"/>
        <v>2661.8081000000002</v>
      </c>
    </row>
    <row r="93" spans="1:84" ht="14.25" customHeight="1">
      <c r="A93" s="47">
        <v>86</v>
      </c>
      <c r="B93" s="47" t="s">
        <v>129</v>
      </c>
      <c r="C93" s="48">
        <v>414001</v>
      </c>
      <c r="D93" s="49" t="s">
        <v>220</v>
      </c>
      <c r="E93" s="49" t="s">
        <v>150</v>
      </c>
      <c r="F93" s="50">
        <f t="shared" si="47"/>
        <v>103</v>
      </c>
      <c r="G93" s="50"/>
      <c r="H93" s="50"/>
      <c r="I93" s="50">
        <v>95</v>
      </c>
      <c r="J93" s="50">
        <v>8</v>
      </c>
      <c r="K93" s="50"/>
      <c r="L93" s="50"/>
      <c r="M93" s="50"/>
      <c r="N93" s="50">
        <v>20</v>
      </c>
      <c r="O93" s="50">
        <f t="shared" si="48"/>
        <v>123</v>
      </c>
      <c r="P93" s="51">
        <f t="shared" si="35"/>
        <v>1175.9209000000001</v>
      </c>
      <c r="Q93" s="51">
        <f t="shared" si="36"/>
        <v>1019.5249</v>
      </c>
      <c r="R93" s="47">
        <f t="shared" si="49"/>
        <v>369035</v>
      </c>
      <c r="S93" s="58"/>
      <c r="T93" s="51">
        <v>369035</v>
      </c>
      <c r="U93" s="47">
        <f t="shared" si="50"/>
        <v>442.84199999999998</v>
      </c>
      <c r="V93" s="51">
        <f t="shared" si="2"/>
        <v>0</v>
      </c>
      <c r="W93" s="47">
        <f t="shared" si="51"/>
        <v>0</v>
      </c>
      <c r="X93" s="47"/>
      <c r="Y93" s="47"/>
      <c r="Z93" s="47"/>
      <c r="AA93" s="47"/>
      <c r="AB93" s="51">
        <f t="shared" ref="AB93:AB156" si="65">SUM(AC93:AF93)</f>
        <v>0</v>
      </c>
      <c r="AC93" s="47">
        <f t="shared" si="53"/>
        <v>0</v>
      </c>
      <c r="AD93" s="47"/>
      <c r="AE93" s="47"/>
      <c r="AF93" s="47"/>
      <c r="AG93" s="47">
        <f>103*1200</f>
        <v>123600</v>
      </c>
      <c r="AH93" s="47"/>
      <c r="AI93" s="47">
        <f t="shared" si="55"/>
        <v>266.77</v>
      </c>
      <c r="AJ93" s="53">
        <v>137.26910000000001</v>
      </c>
      <c r="AK93" s="53">
        <v>1372691</v>
      </c>
      <c r="AL93" s="47"/>
      <c r="AM93" s="47">
        <v>60.466999999999999</v>
      </c>
      <c r="AN93" s="47">
        <v>56.918999999999997</v>
      </c>
      <c r="AO93" s="47">
        <v>569190</v>
      </c>
      <c r="AP93" s="47">
        <v>3.5480999999999998</v>
      </c>
      <c r="AQ93" s="47">
        <v>35481</v>
      </c>
      <c r="AR93" s="47"/>
      <c r="AS93" s="47">
        <v>9.2249999999999996</v>
      </c>
      <c r="AT93" s="47">
        <v>4.2576999999999998</v>
      </c>
      <c r="AU93" s="47">
        <v>42577</v>
      </c>
      <c r="AV93" s="47">
        <v>4.9672999999999998</v>
      </c>
      <c r="AW93" s="47">
        <v>49673</v>
      </c>
      <c r="AX93" s="47">
        <v>102.95180000000001</v>
      </c>
      <c r="AY93" s="47"/>
      <c r="AZ93" s="47"/>
      <c r="BA93" s="54">
        <v>1E-4</v>
      </c>
      <c r="BB93" s="55" t="s">
        <v>220</v>
      </c>
      <c r="BC93" s="51">
        <f t="shared" si="63"/>
        <v>155.88</v>
      </c>
      <c r="BD93" s="47">
        <f t="shared" si="33"/>
        <v>98.88</v>
      </c>
      <c r="BE93" s="47">
        <f t="shared" si="64"/>
        <v>0</v>
      </c>
      <c r="BF93" s="47"/>
      <c r="BG93" s="56">
        <v>57</v>
      </c>
      <c r="BH93" s="47"/>
      <c r="BI93" s="51">
        <f t="shared" si="43"/>
        <v>0.51600000000000001</v>
      </c>
      <c r="BJ93" s="51">
        <f t="shared" si="44"/>
        <v>0</v>
      </c>
      <c r="BK93" s="47"/>
      <c r="BL93" s="47"/>
      <c r="BM93" s="47"/>
      <c r="BN93" s="47"/>
      <c r="BO93" s="47"/>
      <c r="BP93" s="68">
        <v>0.51600000000000001</v>
      </c>
      <c r="BQ93" s="47"/>
      <c r="BR93" s="47"/>
      <c r="BS93" s="53"/>
      <c r="BT93" s="47"/>
      <c r="BU93" s="47"/>
      <c r="BV93" s="47"/>
      <c r="BW93" s="47"/>
      <c r="BX93" s="47">
        <v>180.97</v>
      </c>
      <c r="BY93" s="47"/>
      <c r="BZ93" s="47"/>
      <c r="CA93" s="47"/>
      <c r="CB93" s="54">
        <f t="shared" si="45"/>
        <v>1356.8909000000001</v>
      </c>
      <c r="CC93" s="47"/>
      <c r="CD93" s="57"/>
      <c r="CE93" s="47">
        <v>1774.5</v>
      </c>
      <c r="CF93" s="47">
        <f t="shared" si="46"/>
        <v>3131.3909000000003</v>
      </c>
    </row>
    <row r="94" spans="1:84" ht="14.25" customHeight="1">
      <c r="A94" s="47">
        <v>87</v>
      </c>
      <c r="B94" s="47" t="s">
        <v>129</v>
      </c>
      <c r="C94" s="48">
        <v>407001</v>
      </c>
      <c r="D94" s="49" t="s">
        <v>221</v>
      </c>
      <c r="E94" s="49" t="s">
        <v>141</v>
      </c>
      <c r="F94" s="50">
        <f t="shared" si="47"/>
        <v>51</v>
      </c>
      <c r="G94" s="50">
        <v>9</v>
      </c>
      <c r="H94" s="50"/>
      <c r="I94" s="50">
        <v>15</v>
      </c>
      <c r="J94" s="50">
        <v>27</v>
      </c>
      <c r="K94" s="50"/>
      <c r="L94" s="50"/>
      <c r="M94" s="50"/>
      <c r="N94" s="50">
        <v>12</v>
      </c>
      <c r="O94" s="50">
        <f t="shared" si="48"/>
        <v>63</v>
      </c>
      <c r="P94" s="51">
        <f t="shared" si="35"/>
        <v>699.53159999999991</v>
      </c>
      <c r="Q94" s="51">
        <f t="shared" si="36"/>
        <v>524.41559999999993</v>
      </c>
      <c r="R94" s="47">
        <f t="shared" si="49"/>
        <v>149504</v>
      </c>
      <c r="S94" s="58">
        <v>29619</v>
      </c>
      <c r="T94" s="51">
        <v>119885</v>
      </c>
      <c r="U94" s="47">
        <f t="shared" si="50"/>
        <v>179.40479999999999</v>
      </c>
      <c r="V94" s="51">
        <f t="shared" si="2"/>
        <v>20.25</v>
      </c>
      <c r="W94" s="47">
        <f t="shared" si="51"/>
        <v>20.25</v>
      </c>
      <c r="X94" s="47"/>
      <c r="Y94" s="47"/>
      <c r="Z94" s="47"/>
      <c r="AA94" s="47"/>
      <c r="AB94" s="51">
        <f t="shared" si="65"/>
        <v>77.885099999999994</v>
      </c>
      <c r="AC94" s="47">
        <f t="shared" si="53"/>
        <v>2.9619</v>
      </c>
      <c r="AD94" s="47"/>
      <c r="AE94" s="47"/>
      <c r="AF94" s="47">
        <f t="shared" si="54"/>
        <v>74.923199999999994</v>
      </c>
      <c r="AG94" s="47">
        <v>62436</v>
      </c>
      <c r="AH94" s="47"/>
      <c r="AI94" s="47">
        <f t="shared" si="55"/>
        <v>108.78</v>
      </c>
      <c r="AJ94" s="53">
        <f t="shared" si="56"/>
        <v>61.811199999999999</v>
      </c>
      <c r="AK94" s="53">
        <f t="shared" si="57"/>
        <v>618112</v>
      </c>
      <c r="AL94" s="47"/>
      <c r="AM94" s="47">
        <f t="shared" si="37"/>
        <v>26.306999999999999</v>
      </c>
      <c r="AN94" s="47">
        <f t="shared" si="38"/>
        <v>24.764800000000001</v>
      </c>
      <c r="AO94" s="47">
        <f t="shared" si="58"/>
        <v>247648</v>
      </c>
      <c r="AP94" s="47">
        <f t="shared" si="39"/>
        <v>1.5422</v>
      </c>
      <c r="AQ94" s="47">
        <f t="shared" si="59"/>
        <v>15422</v>
      </c>
      <c r="AR94" s="47"/>
      <c r="AS94" s="47">
        <f t="shared" si="60"/>
        <v>3.6191</v>
      </c>
      <c r="AT94" s="47">
        <f t="shared" si="40"/>
        <v>1.8506</v>
      </c>
      <c r="AU94" s="47">
        <f t="shared" si="61"/>
        <v>18506</v>
      </c>
      <c r="AV94" s="47">
        <f t="shared" si="41"/>
        <v>1.7685</v>
      </c>
      <c r="AW94" s="47">
        <f t="shared" si="62"/>
        <v>17685</v>
      </c>
      <c r="AX94" s="47">
        <f t="shared" si="42"/>
        <v>46.358400000000003</v>
      </c>
      <c r="AY94" s="47"/>
      <c r="AZ94" s="47"/>
      <c r="BA94" s="54">
        <v>1E-4</v>
      </c>
      <c r="BB94" s="55" t="s">
        <v>221</v>
      </c>
      <c r="BC94" s="51">
        <f t="shared" si="63"/>
        <v>173.46</v>
      </c>
      <c r="BD94" s="47">
        <f t="shared" si="33"/>
        <v>51.12</v>
      </c>
      <c r="BE94" s="47">
        <f t="shared" si="64"/>
        <v>32.340000000000003</v>
      </c>
      <c r="BF94" s="47">
        <v>26950</v>
      </c>
      <c r="BG94" s="56">
        <v>81</v>
      </c>
      <c r="BH94" s="47">
        <v>9</v>
      </c>
      <c r="BI94" s="51">
        <f t="shared" si="43"/>
        <v>1.6559999999999999</v>
      </c>
      <c r="BJ94" s="51">
        <f t="shared" si="44"/>
        <v>0</v>
      </c>
      <c r="BK94" s="47"/>
      <c r="BL94" s="47"/>
      <c r="BM94" s="47"/>
      <c r="BN94" s="47"/>
      <c r="BO94" s="47"/>
      <c r="BP94" s="68">
        <v>1.6559999999999999</v>
      </c>
      <c r="BQ94" s="47"/>
      <c r="BR94" s="47"/>
      <c r="BS94" s="53"/>
      <c r="BT94" s="47"/>
      <c r="BU94" s="47"/>
      <c r="BV94" s="47"/>
      <c r="BW94" s="47"/>
      <c r="BX94" s="47">
        <v>98</v>
      </c>
      <c r="BY94" s="47"/>
      <c r="BZ94" s="47"/>
      <c r="CA94" s="47"/>
      <c r="CB94" s="54">
        <f t="shared" si="45"/>
        <v>797.53159999999991</v>
      </c>
      <c r="CC94" s="47"/>
      <c r="CD94" s="57"/>
      <c r="CE94" s="47"/>
      <c r="CF94" s="47">
        <f t="shared" si="46"/>
        <v>797.53159999999991</v>
      </c>
    </row>
    <row r="95" spans="1:84" ht="14.25" customHeight="1">
      <c r="A95" s="47">
        <v>88</v>
      </c>
      <c r="B95" s="47" t="s">
        <v>129</v>
      </c>
      <c r="C95" s="48">
        <v>405001</v>
      </c>
      <c r="D95" s="49" t="s">
        <v>222</v>
      </c>
      <c r="E95" s="49" t="s">
        <v>143</v>
      </c>
      <c r="F95" s="50">
        <f t="shared" si="47"/>
        <v>8</v>
      </c>
      <c r="G95" s="50">
        <v>7</v>
      </c>
      <c r="H95" s="50">
        <v>1</v>
      </c>
      <c r="I95" s="50"/>
      <c r="J95" s="50"/>
      <c r="K95" s="50"/>
      <c r="L95" s="50"/>
      <c r="M95" s="50"/>
      <c r="N95" s="50"/>
      <c r="O95" s="50">
        <f t="shared" si="48"/>
        <v>8</v>
      </c>
      <c r="P95" s="51">
        <f t="shared" si="35"/>
        <v>211.2371</v>
      </c>
      <c r="Q95" s="51">
        <f t="shared" si="36"/>
        <v>93.589100000000002</v>
      </c>
      <c r="R95" s="47">
        <f t="shared" si="49"/>
        <v>29017</v>
      </c>
      <c r="S95" s="58">
        <v>29017</v>
      </c>
      <c r="T95" s="51"/>
      <c r="U95" s="47">
        <f t="shared" si="50"/>
        <v>34.820399999999999</v>
      </c>
      <c r="V95" s="51">
        <f t="shared" si="2"/>
        <v>18</v>
      </c>
      <c r="W95" s="47">
        <f t="shared" si="51"/>
        <v>18</v>
      </c>
      <c r="X95" s="47"/>
      <c r="Y95" s="47"/>
      <c r="Z95" s="47"/>
      <c r="AA95" s="47"/>
      <c r="AB95" s="51">
        <f t="shared" si="65"/>
        <v>16.540900000000001</v>
      </c>
      <c r="AC95" s="47">
        <f t="shared" si="53"/>
        <v>2.9016999999999999</v>
      </c>
      <c r="AD95" s="47"/>
      <c r="AE95" s="47"/>
      <c r="AF95" s="47">
        <f t="shared" si="54"/>
        <v>13.639200000000001</v>
      </c>
      <c r="AG95" s="47">
        <v>11366</v>
      </c>
      <c r="AH95" s="47"/>
      <c r="AI95" s="47">
        <f t="shared" si="55"/>
        <v>0</v>
      </c>
      <c r="AJ95" s="53">
        <f t="shared" si="56"/>
        <v>11.097799999999999</v>
      </c>
      <c r="AK95" s="53">
        <f t="shared" si="57"/>
        <v>110978</v>
      </c>
      <c r="AL95" s="47"/>
      <c r="AM95" s="47">
        <f t="shared" si="37"/>
        <v>4.4897</v>
      </c>
      <c r="AN95" s="47">
        <f t="shared" si="38"/>
        <v>4.2256</v>
      </c>
      <c r="AO95" s="47">
        <f t="shared" si="58"/>
        <v>42256</v>
      </c>
      <c r="AP95" s="47">
        <f t="shared" si="39"/>
        <v>0.2641</v>
      </c>
      <c r="AQ95" s="47">
        <f t="shared" si="59"/>
        <v>2641</v>
      </c>
      <c r="AR95" s="47"/>
      <c r="AS95" s="47">
        <f t="shared" si="60"/>
        <v>0.31690000000000002</v>
      </c>
      <c r="AT95" s="47">
        <f t="shared" si="40"/>
        <v>0.31690000000000002</v>
      </c>
      <c r="AU95" s="47">
        <f t="shared" si="61"/>
        <v>3169</v>
      </c>
      <c r="AV95" s="47">
        <f t="shared" si="41"/>
        <v>0</v>
      </c>
      <c r="AW95" s="47">
        <f t="shared" si="62"/>
        <v>0</v>
      </c>
      <c r="AX95" s="47">
        <f t="shared" si="42"/>
        <v>8.3233999999999995</v>
      </c>
      <c r="AY95" s="47"/>
      <c r="AZ95" s="47"/>
      <c r="BA95" s="54">
        <v>1E-4</v>
      </c>
      <c r="BB95" s="55" t="s">
        <v>222</v>
      </c>
      <c r="BC95" s="51">
        <f t="shared" si="63"/>
        <v>57.647999999999996</v>
      </c>
      <c r="BD95" s="47">
        <f t="shared" si="33"/>
        <v>9.6</v>
      </c>
      <c r="BE95" s="47">
        <f t="shared" si="64"/>
        <v>6.048</v>
      </c>
      <c r="BF95" s="47">
        <v>5040</v>
      </c>
      <c r="BG95" s="56">
        <v>42</v>
      </c>
      <c r="BH95" s="47"/>
      <c r="BI95" s="51">
        <f t="shared" si="43"/>
        <v>60</v>
      </c>
      <c r="BJ95" s="51">
        <f t="shared" si="44"/>
        <v>0</v>
      </c>
      <c r="BK95" s="47"/>
      <c r="BL95" s="47"/>
      <c r="BM95" s="47"/>
      <c r="BN95" s="47"/>
      <c r="BO95" s="47"/>
      <c r="BP95" s="47"/>
      <c r="BQ95" s="47"/>
      <c r="BR95" s="47"/>
      <c r="BS95" s="53"/>
      <c r="BT95" s="47"/>
      <c r="BU95" s="47"/>
      <c r="BV95" s="47"/>
      <c r="BW95" s="68">
        <v>60</v>
      </c>
      <c r="BX95" s="47"/>
      <c r="BY95" s="47">
        <v>30</v>
      </c>
      <c r="BZ95" s="47"/>
      <c r="CA95" s="47"/>
      <c r="CB95" s="54">
        <f t="shared" si="45"/>
        <v>241.2371</v>
      </c>
      <c r="CC95" s="47"/>
      <c r="CD95" s="57"/>
      <c r="CE95" s="47"/>
      <c r="CF95" s="47">
        <f t="shared" si="46"/>
        <v>241.2371</v>
      </c>
    </row>
    <row r="96" spans="1:84" ht="14.25" customHeight="1">
      <c r="A96" s="47">
        <v>89</v>
      </c>
      <c r="B96" s="47" t="s">
        <v>129</v>
      </c>
      <c r="C96" s="48">
        <v>501001</v>
      </c>
      <c r="D96" s="49" t="s">
        <v>223</v>
      </c>
      <c r="E96" s="49" t="s">
        <v>131</v>
      </c>
      <c r="F96" s="50">
        <f t="shared" si="47"/>
        <v>103</v>
      </c>
      <c r="G96" s="50">
        <v>37</v>
      </c>
      <c r="H96" s="50">
        <v>4</v>
      </c>
      <c r="I96" s="50">
        <f>66-4</f>
        <v>62</v>
      </c>
      <c r="J96" s="50"/>
      <c r="K96" s="50"/>
      <c r="L96" s="50"/>
      <c r="M96" s="50"/>
      <c r="N96" s="50">
        <v>77</v>
      </c>
      <c r="O96" s="50">
        <f t="shared" si="48"/>
        <v>180</v>
      </c>
      <c r="P96" s="51">
        <f t="shared" si="35"/>
        <v>1760.9323999999999</v>
      </c>
      <c r="Q96" s="51">
        <f t="shared" si="36"/>
        <v>1375.5444</v>
      </c>
      <c r="R96" s="47">
        <f t="shared" si="49"/>
        <v>397954</v>
      </c>
      <c r="S96" s="58">
        <v>177761</v>
      </c>
      <c r="T96" s="51">
        <v>220193</v>
      </c>
      <c r="U96" s="47">
        <f t="shared" si="50"/>
        <v>477.54480000000001</v>
      </c>
      <c r="V96" s="51">
        <f t="shared" si="2"/>
        <v>231.25</v>
      </c>
      <c r="W96" s="47">
        <f t="shared" si="51"/>
        <v>92.25</v>
      </c>
      <c r="X96" s="47"/>
      <c r="Y96" s="47"/>
      <c r="Z96" s="47"/>
      <c r="AA96" s="47">
        <v>139</v>
      </c>
      <c r="AB96" s="51">
        <f t="shared" si="65"/>
        <v>180.97609999999997</v>
      </c>
      <c r="AC96" s="47">
        <f t="shared" si="53"/>
        <v>17.7761</v>
      </c>
      <c r="AD96" s="47"/>
      <c r="AE96" s="47"/>
      <c r="AF96" s="47">
        <f t="shared" si="54"/>
        <v>163.19999999999999</v>
      </c>
      <c r="AG96" s="47">
        <v>136000</v>
      </c>
      <c r="AH96" s="47"/>
      <c r="AI96" s="47">
        <f t="shared" si="55"/>
        <v>160.58000000000001</v>
      </c>
      <c r="AJ96" s="53">
        <f t="shared" si="56"/>
        <v>145.81610000000001</v>
      </c>
      <c r="AK96" s="53">
        <f t="shared" si="57"/>
        <v>1458161</v>
      </c>
      <c r="AL96" s="47"/>
      <c r="AM96" s="47">
        <f t="shared" si="37"/>
        <v>62.659399999999998</v>
      </c>
      <c r="AN96" s="47">
        <f t="shared" si="38"/>
        <v>59.0075</v>
      </c>
      <c r="AO96" s="47">
        <f t="shared" si="58"/>
        <v>590075</v>
      </c>
      <c r="AP96" s="47">
        <f t="shared" si="39"/>
        <v>3.6518999999999999</v>
      </c>
      <c r="AQ96" s="47">
        <f t="shared" si="59"/>
        <v>36519</v>
      </c>
      <c r="AR96" s="47"/>
      <c r="AS96" s="47">
        <f t="shared" si="60"/>
        <v>7.3559000000000001</v>
      </c>
      <c r="AT96" s="47">
        <f t="shared" si="40"/>
        <v>4.3822000000000001</v>
      </c>
      <c r="AU96" s="47">
        <f t="shared" si="61"/>
        <v>43822</v>
      </c>
      <c r="AV96" s="47">
        <f t="shared" si="41"/>
        <v>2.9737</v>
      </c>
      <c r="AW96" s="47">
        <f t="shared" si="62"/>
        <v>29737</v>
      </c>
      <c r="AX96" s="47">
        <f t="shared" si="42"/>
        <v>109.3621</v>
      </c>
      <c r="AY96" s="47"/>
      <c r="AZ96" s="67"/>
      <c r="BA96" s="54">
        <v>1E-4</v>
      </c>
      <c r="BB96" s="55" t="s">
        <v>223</v>
      </c>
      <c r="BC96" s="51">
        <f t="shared" si="63"/>
        <v>354.07600000000002</v>
      </c>
      <c r="BD96" s="47">
        <f t="shared" si="33"/>
        <v>108.72</v>
      </c>
      <c r="BE96" s="47">
        <f t="shared" si="64"/>
        <v>31.356000000000002</v>
      </c>
      <c r="BF96" s="47">
        <v>26130</v>
      </c>
      <c r="BG96" s="56">
        <v>214</v>
      </c>
      <c r="BH96" s="47"/>
      <c r="BI96" s="51">
        <f t="shared" si="43"/>
        <v>31.312000000000001</v>
      </c>
      <c r="BJ96" s="51">
        <f t="shared" si="44"/>
        <v>0</v>
      </c>
      <c r="BK96" s="47"/>
      <c r="BL96" s="47"/>
      <c r="BM96" s="47"/>
      <c r="BN96" s="47"/>
      <c r="BO96" s="47"/>
      <c r="BP96" s="68">
        <v>3.3119999999999998</v>
      </c>
      <c r="BQ96" s="47"/>
      <c r="BR96" s="47"/>
      <c r="BS96" s="53"/>
      <c r="BT96" s="47"/>
      <c r="BU96" s="47"/>
      <c r="BV96" s="47"/>
      <c r="BW96" s="47">
        <v>28</v>
      </c>
      <c r="BX96" s="47">
        <f>30+143</f>
        <v>173</v>
      </c>
      <c r="BY96" s="47"/>
      <c r="BZ96" s="47"/>
      <c r="CA96" s="47"/>
      <c r="CB96" s="54">
        <f t="shared" si="45"/>
        <v>1933.9323999999999</v>
      </c>
      <c r="CC96" s="47"/>
      <c r="CD96" s="57"/>
      <c r="CE96" s="47"/>
      <c r="CF96" s="47">
        <f t="shared" si="46"/>
        <v>1933.9323999999999</v>
      </c>
    </row>
    <row r="97" spans="1:84" ht="14.25" customHeight="1">
      <c r="A97" s="47">
        <v>90</v>
      </c>
      <c r="B97" s="47" t="s">
        <v>129</v>
      </c>
      <c r="C97" s="48">
        <v>501003</v>
      </c>
      <c r="D97" s="49" t="s">
        <v>224</v>
      </c>
      <c r="E97" s="49" t="s">
        <v>141</v>
      </c>
      <c r="F97" s="50">
        <f t="shared" si="47"/>
        <v>55</v>
      </c>
      <c r="G97" s="50">
        <v>7</v>
      </c>
      <c r="H97" s="50">
        <v>5</v>
      </c>
      <c r="I97" s="50">
        <v>29</v>
      </c>
      <c r="J97" s="50">
        <v>14</v>
      </c>
      <c r="K97" s="50"/>
      <c r="L97" s="50"/>
      <c r="M97" s="50"/>
      <c r="N97" s="50">
        <v>26</v>
      </c>
      <c r="O97" s="50">
        <f t="shared" si="48"/>
        <v>81</v>
      </c>
      <c r="P97" s="51">
        <f t="shared" si="35"/>
        <v>875.81050000000005</v>
      </c>
      <c r="Q97" s="51">
        <f t="shared" si="36"/>
        <v>665.97050000000002</v>
      </c>
      <c r="R97" s="47">
        <f t="shared" si="49"/>
        <v>194053</v>
      </c>
      <c r="S97" s="58">
        <v>46540</v>
      </c>
      <c r="T97" s="51">
        <v>147513</v>
      </c>
      <c r="U97" s="47">
        <f t="shared" si="50"/>
        <v>232.86359999999999</v>
      </c>
      <c r="V97" s="51">
        <f t="shared" si="2"/>
        <v>66.66</v>
      </c>
      <c r="W97" s="47">
        <f t="shared" si="51"/>
        <v>27</v>
      </c>
      <c r="X97" s="67">
        <v>20.52</v>
      </c>
      <c r="Y97" s="47"/>
      <c r="Z97" s="47"/>
      <c r="AA97" s="67">
        <v>19.14</v>
      </c>
      <c r="AB97" s="51">
        <f t="shared" si="65"/>
        <v>90.975999999999999</v>
      </c>
      <c r="AC97" s="47">
        <f t="shared" si="53"/>
        <v>4.6539999999999999</v>
      </c>
      <c r="AD97" s="47">
        <v>4.6920000000000002</v>
      </c>
      <c r="AE97" s="47"/>
      <c r="AF97" s="47">
        <f t="shared" si="54"/>
        <v>81.63</v>
      </c>
      <c r="AG97" s="47">
        <v>68025</v>
      </c>
      <c r="AH97" s="47"/>
      <c r="AI97" s="47">
        <f t="shared" si="55"/>
        <v>111.37</v>
      </c>
      <c r="AJ97" s="53">
        <f t="shared" si="56"/>
        <v>73.202799999999996</v>
      </c>
      <c r="AK97" s="53">
        <f t="shared" si="57"/>
        <v>732028</v>
      </c>
      <c r="AL97" s="47"/>
      <c r="AM97" s="47">
        <f t="shared" si="37"/>
        <v>31.7499</v>
      </c>
      <c r="AN97" s="47">
        <f t="shared" si="38"/>
        <v>29.893699999999999</v>
      </c>
      <c r="AO97" s="47">
        <f t="shared" si="58"/>
        <v>298937</v>
      </c>
      <c r="AP97" s="47">
        <f t="shared" si="39"/>
        <v>1.8562000000000001</v>
      </c>
      <c r="AQ97" s="47">
        <f t="shared" si="59"/>
        <v>18562</v>
      </c>
      <c r="AR97" s="47"/>
      <c r="AS97" s="47">
        <f t="shared" si="60"/>
        <v>4.2461000000000002</v>
      </c>
      <c r="AT97" s="47">
        <f t="shared" si="40"/>
        <v>2.2273999999999998</v>
      </c>
      <c r="AU97" s="47">
        <f t="shared" si="61"/>
        <v>22274</v>
      </c>
      <c r="AV97" s="47">
        <f t="shared" si="41"/>
        <v>2.0186999999999999</v>
      </c>
      <c r="AW97" s="47">
        <f t="shared" si="62"/>
        <v>20187</v>
      </c>
      <c r="AX97" s="47">
        <f t="shared" si="42"/>
        <v>54.902099999999997</v>
      </c>
      <c r="AY97" s="47"/>
      <c r="AZ97" s="67"/>
      <c r="BA97" s="54">
        <v>1E-4</v>
      </c>
      <c r="BB97" s="55" t="s">
        <v>224</v>
      </c>
      <c r="BC97" s="51">
        <f t="shared" si="63"/>
        <v>199.84</v>
      </c>
      <c r="BD97" s="47">
        <f t="shared" ref="BD97:BD123" si="66">1.2*(G97+H97)+0.96*(I97+J97)</f>
        <v>55.68</v>
      </c>
      <c r="BE97" s="47">
        <f t="shared" si="64"/>
        <v>8.16</v>
      </c>
      <c r="BF97" s="47">
        <v>6800</v>
      </c>
      <c r="BG97" s="56">
        <v>136</v>
      </c>
      <c r="BH97" s="47"/>
      <c r="BI97" s="51">
        <f t="shared" si="43"/>
        <v>10</v>
      </c>
      <c r="BJ97" s="51">
        <f t="shared" si="44"/>
        <v>0</v>
      </c>
      <c r="BK97" s="47"/>
      <c r="BL97" s="47"/>
      <c r="BM97" s="47"/>
      <c r="BN97" s="47"/>
      <c r="BO97" s="47"/>
      <c r="BP97" s="47"/>
      <c r="BQ97" s="47"/>
      <c r="BR97" s="47"/>
      <c r="BS97" s="53"/>
      <c r="BT97" s="47"/>
      <c r="BU97" s="47"/>
      <c r="BV97" s="47"/>
      <c r="BW97" s="47">
        <v>10</v>
      </c>
      <c r="BX97" s="47"/>
      <c r="BY97" s="47"/>
      <c r="BZ97" s="47"/>
      <c r="CA97" s="47"/>
      <c r="CB97" s="54">
        <f t="shared" si="45"/>
        <v>875.81050000000005</v>
      </c>
      <c r="CC97" s="47"/>
      <c r="CD97" s="57"/>
      <c r="CE97" s="47"/>
      <c r="CF97" s="47">
        <f t="shared" si="46"/>
        <v>875.81050000000005</v>
      </c>
    </row>
    <row r="98" spans="1:84" ht="14.25" customHeight="1">
      <c r="A98" s="47">
        <v>91</v>
      </c>
      <c r="B98" s="47" t="s">
        <v>129</v>
      </c>
      <c r="C98" s="48">
        <v>501002</v>
      </c>
      <c r="D98" s="49" t="s">
        <v>225</v>
      </c>
      <c r="E98" s="49" t="s">
        <v>141</v>
      </c>
      <c r="F98" s="50">
        <f t="shared" si="47"/>
        <v>33</v>
      </c>
      <c r="G98" s="50">
        <v>5</v>
      </c>
      <c r="H98" s="50">
        <v>2</v>
      </c>
      <c r="I98" s="50">
        <v>26</v>
      </c>
      <c r="J98" s="50"/>
      <c r="K98" s="50"/>
      <c r="L98" s="50"/>
      <c r="M98" s="50"/>
      <c r="N98" s="50">
        <v>23</v>
      </c>
      <c r="O98" s="50">
        <f t="shared" si="48"/>
        <v>56</v>
      </c>
      <c r="P98" s="51">
        <f t="shared" si="35"/>
        <v>493.15069999999997</v>
      </c>
      <c r="Q98" s="51">
        <f t="shared" si="36"/>
        <v>386.84269999999998</v>
      </c>
      <c r="R98" s="47">
        <f t="shared" si="49"/>
        <v>124342</v>
      </c>
      <c r="S98" s="58">
        <v>29979</v>
      </c>
      <c r="T98" s="51">
        <v>94363</v>
      </c>
      <c r="U98" s="47">
        <f t="shared" si="50"/>
        <v>149.21039999999999</v>
      </c>
      <c r="V98" s="51">
        <f t="shared" si="2"/>
        <v>15.75</v>
      </c>
      <c r="W98" s="47">
        <f t="shared" si="51"/>
        <v>15.75</v>
      </c>
      <c r="X98" s="47"/>
      <c r="Y98" s="47"/>
      <c r="Z98" s="47"/>
      <c r="AA98" s="47"/>
      <c r="AB98" s="51">
        <f t="shared" si="65"/>
        <v>52.283100000000005</v>
      </c>
      <c r="AC98" s="47">
        <f t="shared" si="53"/>
        <v>2.9979</v>
      </c>
      <c r="AD98" s="47"/>
      <c r="AE98" s="47"/>
      <c r="AF98" s="47">
        <f t="shared" si="54"/>
        <v>49.285200000000003</v>
      </c>
      <c r="AG98" s="47">
        <v>41071</v>
      </c>
      <c r="AH98" s="47"/>
      <c r="AI98" s="47">
        <f t="shared" si="55"/>
        <v>67.34</v>
      </c>
      <c r="AJ98" s="53">
        <f t="shared" si="56"/>
        <v>45.5334</v>
      </c>
      <c r="AK98" s="53">
        <f t="shared" si="57"/>
        <v>455334</v>
      </c>
      <c r="AL98" s="47"/>
      <c r="AM98" s="47">
        <f t="shared" si="37"/>
        <v>19.917999999999999</v>
      </c>
      <c r="AN98" s="47">
        <f t="shared" si="38"/>
        <v>18.756499999999999</v>
      </c>
      <c r="AO98" s="47">
        <f t="shared" si="58"/>
        <v>187565</v>
      </c>
      <c r="AP98" s="47">
        <f t="shared" si="39"/>
        <v>1.1615</v>
      </c>
      <c r="AQ98" s="47">
        <f t="shared" si="59"/>
        <v>11615</v>
      </c>
      <c r="AR98" s="47"/>
      <c r="AS98" s="47">
        <f t="shared" si="60"/>
        <v>2.6577999999999999</v>
      </c>
      <c r="AT98" s="47">
        <f t="shared" si="40"/>
        <v>1.3937999999999999</v>
      </c>
      <c r="AU98" s="47">
        <f t="shared" si="61"/>
        <v>13938</v>
      </c>
      <c r="AV98" s="47">
        <f t="shared" si="41"/>
        <v>1.264</v>
      </c>
      <c r="AW98" s="47">
        <f t="shared" si="62"/>
        <v>12640</v>
      </c>
      <c r="AX98" s="47">
        <f t="shared" si="42"/>
        <v>34.15</v>
      </c>
      <c r="AY98" s="47"/>
      <c r="AZ98" s="47"/>
      <c r="BA98" s="54">
        <v>1E-4</v>
      </c>
      <c r="BB98" s="55" t="s">
        <v>225</v>
      </c>
      <c r="BC98" s="51">
        <f t="shared" si="63"/>
        <v>101.34</v>
      </c>
      <c r="BD98" s="47">
        <f t="shared" si="66"/>
        <v>33.36</v>
      </c>
      <c r="BE98" s="47">
        <f t="shared" si="64"/>
        <v>4.9800000000000004</v>
      </c>
      <c r="BF98" s="47">
        <v>4150</v>
      </c>
      <c r="BG98" s="56">
        <v>63</v>
      </c>
      <c r="BH98" s="47"/>
      <c r="BI98" s="51">
        <f t="shared" si="43"/>
        <v>4.968</v>
      </c>
      <c r="BJ98" s="51">
        <f t="shared" si="44"/>
        <v>0</v>
      </c>
      <c r="BK98" s="47"/>
      <c r="BL98" s="47"/>
      <c r="BM98" s="47"/>
      <c r="BN98" s="47"/>
      <c r="BO98" s="47"/>
      <c r="BP98" s="68">
        <v>4.968</v>
      </c>
      <c r="BQ98" s="47"/>
      <c r="BR98" s="47"/>
      <c r="BS98" s="53"/>
      <c r="BT98" s="47"/>
      <c r="BU98" s="47"/>
      <c r="BV98" s="47"/>
      <c r="BW98" s="47"/>
      <c r="BX98" s="47">
        <v>45</v>
      </c>
      <c r="BY98" s="47"/>
      <c r="BZ98" s="47"/>
      <c r="CA98" s="47"/>
      <c r="CB98" s="54">
        <f t="shared" si="45"/>
        <v>538.15069999999992</v>
      </c>
      <c r="CC98" s="47"/>
      <c r="CD98" s="57"/>
      <c r="CE98" s="47"/>
      <c r="CF98" s="47">
        <f t="shared" si="46"/>
        <v>538.15069999999992</v>
      </c>
    </row>
    <row r="99" spans="1:84" ht="14.25" customHeight="1">
      <c r="A99" s="47">
        <v>92</v>
      </c>
      <c r="B99" s="47" t="s">
        <v>129</v>
      </c>
      <c r="C99" s="48">
        <v>501005</v>
      </c>
      <c r="D99" s="49" t="s">
        <v>226</v>
      </c>
      <c r="E99" s="49" t="s">
        <v>141</v>
      </c>
      <c r="F99" s="50">
        <f t="shared" si="47"/>
        <v>14</v>
      </c>
      <c r="G99" s="50">
        <v>14</v>
      </c>
      <c r="H99" s="50"/>
      <c r="I99" s="50"/>
      <c r="J99" s="50"/>
      <c r="K99" s="50"/>
      <c r="L99" s="50"/>
      <c r="M99" s="50"/>
      <c r="N99" s="50">
        <v>8</v>
      </c>
      <c r="O99" s="50">
        <f t="shared" si="48"/>
        <v>22</v>
      </c>
      <c r="P99" s="51">
        <f t="shared" si="35"/>
        <v>255.92140000000001</v>
      </c>
      <c r="Q99" s="51">
        <f t="shared" si="36"/>
        <v>166.45340000000002</v>
      </c>
      <c r="R99" s="47">
        <f t="shared" si="49"/>
        <v>51680</v>
      </c>
      <c r="S99" s="58">
        <v>51680</v>
      </c>
      <c r="T99" s="51"/>
      <c r="U99" s="47">
        <f t="shared" si="50"/>
        <v>62.015999999999998</v>
      </c>
      <c r="V99" s="51">
        <f t="shared" si="2"/>
        <v>31.5</v>
      </c>
      <c r="W99" s="47">
        <f t="shared" si="51"/>
        <v>31.5</v>
      </c>
      <c r="X99" s="47"/>
      <c r="Y99" s="47"/>
      <c r="Z99" s="47"/>
      <c r="AA99" s="47"/>
      <c r="AB99" s="51">
        <f t="shared" si="65"/>
        <v>29.830400000000001</v>
      </c>
      <c r="AC99" s="47">
        <f t="shared" si="53"/>
        <v>5.1680000000000001</v>
      </c>
      <c r="AD99" s="47"/>
      <c r="AE99" s="47"/>
      <c r="AF99" s="47">
        <f t="shared" si="54"/>
        <v>24.662400000000002</v>
      </c>
      <c r="AG99" s="47">
        <v>20552</v>
      </c>
      <c r="AH99" s="47"/>
      <c r="AI99" s="47">
        <f t="shared" si="55"/>
        <v>0</v>
      </c>
      <c r="AJ99" s="53">
        <f t="shared" si="56"/>
        <v>19.735399999999998</v>
      </c>
      <c r="AK99" s="53">
        <f t="shared" si="57"/>
        <v>197353.99999999997</v>
      </c>
      <c r="AL99" s="47"/>
      <c r="AM99" s="47">
        <f t="shared" si="37"/>
        <v>8.0089000000000006</v>
      </c>
      <c r="AN99" s="47">
        <f t="shared" si="38"/>
        <v>7.5412999999999997</v>
      </c>
      <c r="AO99" s="47">
        <f t="shared" si="58"/>
        <v>75413</v>
      </c>
      <c r="AP99" s="47">
        <f t="shared" si="39"/>
        <v>0.46760000000000002</v>
      </c>
      <c r="AQ99" s="47">
        <f t="shared" si="59"/>
        <v>4676</v>
      </c>
      <c r="AR99" s="47"/>
      <c r="AS99" s="47">
        <f t="shared" si="60"/>
        <v>0.56110000000000004</v>
      </c>
      <c r="AT99" s="47">
        <f t="shared" si="40"/>
        <v>0.56110000000000004</v>
      </c>
      <c r="AU99" s="47">
        <f t="shared" si="61"/>
        <v>5611</v>
      </c>
      <c r="AV99" s="47">
        <f t="shared" si="41"/>
        <v>0</v>
      </c>
      <c r="AW99" s="47">
        <f t="shared" si="62"/>
        <v>0</v>
      </c>
      <c r="AX99" s="47">
        <f t="shared" si="42"/>
        <v>14.801600000000001</v>
      </c>
      <c r="AY99" s="47"/>
      <c r="AZ99" s="47"/>
      <c r="BA99" s="54">
        <v>1E-4</v>
      </c>
      <c r="BB99" s="55" t="s">
        <v>226</v>
      </c>
      <c r="BC99" s="51">
        <f t="shared" si="63"/>
        <v>89.468000000000004</v>
      </c>
      <c r="BD99" s="47">
        <f t="shared" si="66"/>
        <v>16.8</v>
      </c>
      <c r="BE99" s="47">
        <f t="shared" si="64"/>
        <v>10.667999999999999</v>
      </c>
      <c r="BF99" s="47">
        <v>8890</v>
      </c>
      <c r="BG99" s="56">
        <v>62</v>
      </c>
      <c r="BH99" s="47"/>
      <c r="BI99" s="51">
        <f t="shared" si="43"/>
        <v>0</v>
      </c>
      <c r="BJ99" s="51">
        <f t="shared" si="44"/>
        <v>0</v>
      </c>
      <c r="BK99" s="47"/>
      <c r="BL99" s="47"/>
      <c r="BM99" s="47"/>
      <c r="BN99" s="47"/>
      <c r="BO99" s="47"/>
      <c r="BP99" s="47"/>
      <c r="BQ99" s="47"/>
      <c r="BR99" s="47"/>
      <c r="BS99" s="53"/>
      <c r="BT99" s="47"/>
      <c r="BU99" s="47"/>
      <c r="BV99" s="47"/>
      <c r="BW99" s="47"/>
      <c r="BX99" s="47"/>
      <c r="BY99" s="47"/>
      <c r="BZ99" s="47"/>
      <c r="CA99" s="47"/>
      <c r="CB99" s="54">
        <f t="shared" si="45"/>
        <v>255.92140000000001</v>
      </c>
      <c r="CC99" s="47"/>
      <c r="CD99" s="57"/>
      <c r="CE99" s="47"/>
      <c r="CF99" s="47">
        <f t="shared" si="46"/>
        <v>255.92140000000001</v>
      </c>
    </row>
    <row r="100" spans="1:84" ht="14.25" customHeight="1">
      <c r="A100" s="47">
        <v>93</v>
      </c>
      <c r="B100" s="47" t="s">
        <v>129</v>
      </c>
      <c r="C100" s="48">
        <v>501006</v>
      </c>
      <c r="D100" s="49" t="s">
        <v>227</v>
      </c>
      <c r="E100" s="49" t="s">
        <v>150</v>
      </c>
      <c r="F100" s="50">
        <f t="shared" si="47"/>
        <v>18</v>
      </c>
      <c r="G100" s="50">
        <v>3</v>
      </c>
      <c r="H100" s="50"/>
      <c r="I100" s="50">
        <f>11+4</f>
        <v>15</v>
      </c>
      <c r="J100" s="50"/>
      <c r="K100" s="50"/>
      <c r="L100" s="50"/>
      <c r="M100" s="50"/>
      <c r="N100" s="50"/>
      <c r="O100" s="50">
        <f t="shared" si="48"/>
        <v>18</v>
      </c>
      <c r="P100" s="51">
        <f t="shared" si="35"/>
        <v>280.45579999999995</v>
      </c>
      <c r="Q100" s="51">
        <f t="shared" si="36"/>
        <v>207.29579999999999</v>
      </c>
      <c r="R100" s="47">
        <f t="shared" si="49"/>
        <v>65927</v>
      </c>
      <c r="S100" s="58">
        <v>10172</v>
      </c>
      <c r="T100" s="51">
        <v>55755</v>
      </c>
      <c r="U100" s="47">
        <f t="shared" si="50"/>
        <v>79.112399999999994</v>
      </c>
      <c r="V100" s="51">
        <f t="shared" si="2"/>
        <v>6.75</v>
      </c>
      <c r="W100" s="47">
        <f t="shared" si="51"/>
        <v>6.75</v>
      </c>
      <c r="X100" s="47"/>
      <c r="Y100" s="47"/>
      <c r="Z100" s="47"/>
      <c r="AA100" s="47"/>
      <c r="AB100" s="51">
        <f t="shared" si="65"/>
        <v>27.7928</v>
      </c>
      <c r="AC100" s="47">
        <f t="shared" si="53"/>
        <v>1.0172000000000001</v>
      </c>
      <c r="AD100" s="47"/>
      <c r="AE100" s="47"/>
      <c r="AF100" s="47">
        <f t="shared" si="54"/>
        <v>26.775600000000001</v>
      </c>
      <c r="AG100" s="47">
        <v>22313</v>
      </c>
      <c r="AH100" s="47"/>
      <c r="AI100" s="47">
        <f t="shared" si="55"/>
        <v>38.85</v>
      </c>
      <c r="AJ100" s="53">
        <f t="shared" si="56"/>
        <v>24.4008</v>
      </c>
      <c r="AK100" s="53">
        <f t="shared" si="57"/>
        <v>244008</v>
      </c>
      <c r="AL100" s="47"/>
      <c r="AM100" s="47">
        <f t="shared" si="37"/>
        <v>10.6006</v>
      </c>
      <c r="AN100" s="47">
        <f t="shared" si="38"/>
        <v>9.9770000000000003</v>
      </c>
      <c r="AO100" s="47">
        <f t="shared" si="58"/>
        <v>99770</v>
      </c>
      <c r="AP100" s="47">
        <f t="shared" si="39"/>
        <v>0.62360000000000004</v>
      </c>
      <c r="AQ100" s="47">
        <f t="shared" si="59"/>
        <v>6236</v>
      </c>
      <c r="AR100" s="47"/>
      <c r="AS100" s="47">
        <f t="shared" si="60"/>
        <v>1.4885999999999999</v>
      </c>
      <c r="AT100" s="47">
        <f t="shared" si="40"/>
        <v>0.74829999999999997</v>
      </c>
      <c r="AU100" s="47">
        <f t="shared" si="61"/>
        <v>7483</v>
      </c>
      <c r="AV100" s="47">
        <f t="shared" si="41"/>
        <v>0.74029999999999996</v>
      </c>
      <c r="AW100" s="47">
        <f t="shared" si="62"/>
        <v>7403</v>
      </c>
      <c r="AX100" s="47">
        <f t="shared" si="42"/>
        <v>18.300599999999999</v>
      </c>
      <c r="AY100" s="47"/>
      <c r="AZ100" s="47"/>
      <c r="BA100" s="54">
        <v>1E-4</v>
      </c>
      <c r="BB100" s="55" t="s">
        <v>227</v>
      </c>
      <c r="BC100" s="51">
        <f t="shared" si="63"/>
        <v>73.16</v>
      </c>
      <c r="BD100" s="47">
        <f t="shared" si="66"/>
        <v>18</v>
      </c>
      <c r="BE100" s="47">
        <f t="shared" si="64"/>
        <v>2.16</v>
      </c>
      <c r="BF100" s="47">
        <v>1800</v>
      </c>
      <c r="BG100" s="56">
        <v>50</v>
      </c>
      <c r="BH100" s="47">
        <v>3</v>
      </c>
      <c r="BI100" s="51">
        <f t="shared" si="43"/>
        <v>0</v>
      </c>
      <c r="BJ100" s="51">
        <f t="shared" si="44"/>
        <v>0</v>
      </c>
      <c r="BK100" s="47"/>
      <c r="BL100" s="47"/>
      <c r="BM100" s="47"/>
      <c r="BN100" s="47"/>
      <c r="BO100" s="47"/>
      <c r="BP100" s="47"/>
      <c r="BQ100" s="47"/>
      <c r="BR100" s="47"/>
      <c r="BS100" s="53"/>
      <c r="BT100" s="47"/>
      <c r="BU100" s="47"/>
      <c r="BV100" s="47"/>
      <c r="BW100" s="47"/>
      <c r="BX100" s="47">
        <v>50</v>
      </c>
      <c r="BY100" s="47"/>
      <c r="BZ100" s="47"/>
      <c r="CA100" s="47"/>
      <c r="CB100" s="54">
        <f t="shared" si="45"/>
        <v>330.45579999999995</v>
      </c>
      <c r="CC100" s="47"/>
      <c r="CD100" s="57"/>
      <c r="CE100" s="47"/>
      <c r="CF100" s="47">
        <f t="shared" si="46"/>
        <v>330.45579999999995</v>
      </c>
    </row>
    <row r="101" spans="1:84" ht="14.25" customHeight="1">
      <c r="A101" s="47">
        <v>94</v>
      </c>
      <c r="B101" s="47" t="s">
        <v>129</v>
      </c>
      <c r="C101" s="48">
        <v>504001</v>
      </c>
      <c r="D101" s="49" t="s">
        <v>228</v>
      </c>
      <c r="E101" s="49" t="s">
        <v>131</v>
      </c>
      <c r="F101" s="50">
        <f t="shared" si="47"/>
        <v>15</v>
      </c>
      <c r="G101" s="50">
        <v>10</v>
      </c>
      <c r="H101" s="50"/>
      <c r="I101" s="50">
        <v>5</v>
      </c>
      <c r="J101" s="50"/>
      <c r="K101" s="50"/>
      <c r="L101" s="50"/>
      <c r="M101" s="50"/>
      <c r="N101" s="50"/>
      <c r="O101" s="50">
        <f t="shared" si="48"/>
        <v>15</v>
      </c>
      <c r="P101" s="51">
        <f t="shared" si="35"/>
        <v>291.75890000000004</v>
      </c>
      <c r="Q101" s="51">
        <f t="shared" si="36"/>
        <v>174.17090000000002</v>
      </c>
      <c r="R101" s="47">
        <f t="shared" si="49"/>
        <v>53737</v>
      </c>
      <c r="S101" s="58">
        <v>38431</v>
      </c>
      <c r="T101" s="51">
        <v>15306</v>
      </c>
      <c r="U101" s="47">
        <f t="shared" si="50"/>
        <v>64.484399999999994</v>
      </c>
      <c r="V101" s="51">
        <f t="shared" si="2"/>
        <v>22.5</v>
      </c>
      <c r="W101" s="47">
        <f t="shared" si="51"/>
        <v>22.5</v>
      </c>
      <c r="X101" s="47"/>
      <c r="Y101" s="47"/>
      <c r="Z101" s="47"/>
      <c r="AA101" s="47"/>
      <c r="AB101" s="51">
        <f t="shared" si="65"/>
        <v>28.860700000000001</v>
      </c>
      <c r="AC101" s="47">
        <f t="shared" si="53"/>
        <v>3.8431000000000002</v>
      </c>
      <c r="AD101" s="47"/>
      <c r="AE101" s="47"/>
      <c r="AF101" s="47">
        <f t="shared" si="54"/>
        <v>25.017600000000002</v>
      </c>
      <c r="AG101" s="47">
        <v>20848</v>
      </c>
      <c r="AH101" s="47"/>
      <c r="AI101" s="47">
        <f t="shared" si="55"/>
        <v>12.95</v>
      </c>
      <c r="AJ101" s="53">
        <f t="shared" si="56"/>
        <v>20.607199999999999</v>
      </c>
      <c r="AK101" s="53">
        <f t="shared" si="57"/>
        <v>206072</v>
      </c>
      <c r="AL101" s="47"/>
      <c r="AM101" s="47">
        <f t="shared" si="37"/>
        <v>8.4944000000000006</v>
      </c>
      <c r="AN101" s="47">
        <f t="shared" si="38"/>
        <v>7.9947999999999997</v>
      </c>
      <c r="AO101" s="47">
        <f t="shared" si="58"/>
        <v>79948</v>
      </c>
      <c r="AP101" s="47">
        <f t="shared" si="39"/>
        <v>0.49969999999999998</v>
      </c>
      <c r="AQ101" s="47">
        <f t="shared" si="59"/>
        <v>4997</v>
      </c>
      <c r="AR101" s="47"/>
      <c r="AS101" s="47">
        <f t="shared" si="60"/>
        <v>0.81879999999999997</v>
      </c>
      <c r="AT101" s="47">
        <f t="shared" si="40"/>
        <v>0.59960000000000002</v>
      </c>
      <c r="AU101" s="47">
        <f t="shared" si="61"/>
        <v>5996</v>
      </c>
      <c r="AV101" s="47">
        <f t="shared" si="41"/>
        <v>0.21920000000000001</v>
      </c>
      <c r="AW101" s="47">
        <f t="shared" si="62"/>
        <v>2192</v>
      </c>
      <c r="AX101" s="47">
        <f t="shared" si="42"/>
        <v>15.455399999999999</v>
      </c>
      <c r="AY101" s="47"/>
      <c r="AZ101" s="47"/>
      <c r="BA101" s="54">
        <v>1E-4</v>
      </c>
      <c r="BB101" s="55" t="s">
        <v>228</v>
      </c>
      <c r="BC101" s="51">
        <f t="shared" si="63"/>
        <v>117.58799999999999</v>
      </c>
      <c r="BD101" s="47">
        <f t="shared" si="66"/>
        <v>16.8</v>
      </c>
      <c r="BE101" s="47">
        <f t="shared" si="64"/>
        <v>7.7880000000000003</v>
      </c>
      <c r="BF101" s="47">
        <v>6490</v>
      </c>
      <c r="BG101" s="56">
        <v>93</v>
      </c>
      <c r="BH101" s="47"/>
      <c r="BI101" s="51">
        <f t="shared" si="43"/>
        <v>0</v>
      </c>
      <c r="BJ101" s="51">
        <f t="shared" si="44"/>
        <v>0</v>
      </c>
      <c r="BK101" s="47"/>
      <c r="BL101" s="47"/>
      <c r="BM101" s="47"/>
      <c r="BN101" s="47"/>
      <c r="BO101" s="47"/>
      <c r="BP101" s="47"/>
      <c r="BQ101" s="47"/>
      <c r="BR101" s="47"/>
      <c r="BS101" s="53"/>
      <c r="BT101" s="47"/>
      <c r="BU101" s="47"/>
      <c r="BV101" s="47"/>
      <c r="BW101" s="47"/>
      <c r="BX101" s="47">
        <v>985</v>
      </c>
      <c r="BY101" s="47"/>
      <c r="BZ101" s="47"/>
      <c r="CA101" s="47"/>
      <c r="CB101" s="54">
        <f t="shared" si="45"/>
        <v>1276.7589</v>
      </c>
      <c r="CC101" s="47"/>
      <c r="CD101" s="57"/>
      <c r="CE101" s="47"/>
      <c r="CF101" s="47">
        <f t="shared" si="46"/>
        <v>1276.7589</v>
      </c>
    </row>
    <row r="102" spans="1:84" ht="14.25" customHeight="1">
      <c r="A102" s="47">
        <v>95</v>
      </c>
      <c r="B102" s="47" t="s">
        <v>129</v>
      </c>
      <c r="C102" s="48">
        <v>503001</v>
      </c>
      <c r="D102" s="49" t="s">
        <v>229</v>
      </c>
      <c r="E102" s="49" t="s">
        <v>131</v>
      </c>
      <c r="F102" s="50">
        <f t="shared" si="47"/>
        <v>42</v>
      </c>
      <c r="G102" s="50">
        <v>17</v>
      </c>
      <c r="H102" s="50"/>
      <c r="I102" s="50">
        <v>14</v>
      </c>
      <c r="J102" s="50">
        <v>11</v>
      </c>
      <c r="K102" s="50"/>
      <c r="L102" s="50"/>
      <c r="M102" s="50"/>
      <c r="N102" s="50">
        <v>58</v>
      </c>
      <c r="O102" s="50">
        <f t="shared" si="48"/>
        <v>100</v>
      </c>
      <c r="P102" s="51">
        <f t="shared" si="35"/>
        <v>1021.0208999999999</v>
      </c>
      <c r="Q102" s="51">
        <f t="shared" si="36"/>
        <v>557.47489999999993</v>
      </c>
      <c r="R102" s="47">
        <f t="shared" si="49"/>
        <v>154846.5</v>
      </c>
      <c r="S102" s="58">
        <v>76228</v>
      </c>
      <c r="T102" s="51">
        <v>78618.5</v>
      </c>
      <c r="U102" s="47">
        <f t="shared" si="50"/>
        <v>185.8158</v>
      </c>
      <c r="V102" s="51">
        <f t="shared" si="2"/>
        <v>100.455</v>
      </c>
      <c r="W102" s="47">
        <f t="shared" si="51"/>
        <v>38.25</v>
      </c>
      <c r="X102" s="67">
        <v>12.023999999999999</v>
      </c>
      <c r="Y102" s="47"/>
      <c r="Z102" s="47"/>
      <c r="AA102" s="47">
        <v>50.180999999999997</v>
      </c>
      <c r="AB102" s="51">
        <f t="shared" si="65"/>
        <v>77.040400000000005</v>
      </c>
      <c r="AC102" s="47">
        <f t="shared" si="53"/>
        <v>7.6227999999999998</v>
      </c>
      <c r="AD102" s="47">
        <v>3.06</v>
      </c>
      <c r="AE102" s="47"/>
      <c r="AF102" s="47">
        <f t="shared" si="54"/>
        <v>66.357600000000005</v>
      </c>
      <c r="AG102" s="47">
        <v>55298</v>
      </c>
      <c r="AH102" s="47"/>
      <c r="AI102" s="47">
        <f t="shared" si="55"/>
        <v>64.75</v>
      </c>
      <c r="AJ102" s="53">
        <f t="shared" si="56"/>
        <v>58.047400000000003</v>
      </c>
      <c r="AK102" s="53">
        <f t="shared" si="57"/>
        <v>580474</v>
      </c>
      <c r="AL102" s="47"/>
      <c r="AM102" s="47">
        <f t="shared" si="37"/>
        <v>24.984300000000001</v>
      </c>
      <c r="AN102" s="47">
        <f t="shared" si="38"/>
        <v>23.540299999999998</v>
      </c>
      <c r="AO102" s="47">
        <f t="shared" si="58"/>
        <v>235402.99999999997</v>
      </c>
      <c r="AP102" s="47">
        <f t="shared" si="39"/>
        <v>1.4440999999999999</v>
      </c>
      <c r="AQ102" s="47">
        <f t="shared" si="59"/>
        <v>14441</v>
      </c>
      <c r="AR102" s="47"/>
      <c r="AS102" s="47">
        <f t="shared" si="60"/>
        <v>2.8464999999999998</v>
      </c>
      <c r="AT102" s="47">
        <f t="shared" si="40"/>
        <v>1.7329000000000001</v>
      </c>
      <c r="AU102" s="47">
        <f t="shared" si="61"/>
        <v>17329</v>
      </c>
      <c r="AV102" s="47">
        <f t="shared" si="41"/>
        <v>1.1135999999999999</v>
      </c>
      <c r="AW102" s="47">
        <f t="shared" si="62"/>
        <v>11136</v>
      </c>
      <c r="AX102" s="47">
        <f t="shared" si="42"/>
        <v>43.535499999999999</v>
      </c>
      <c r="AY102" s="47"/>
      <c r="AZ102" s="47"/>
      <c r="BA102" s="54">
        <v>1E-4</v>
      </c>
      <c r="BB102" s="55" t="s">
        <v>229</v>
      </c>
      <c r="BC102" s="51">
        <f t="shared" si="63"/>
        <v>449.23599999999999</v>
      </c>
      <c r="BD102" s="47">
        <f t="shared" si="66"/>
        <v>44.4</v>
      </c>
      <c r="BE102" s="47">
        <f t="shared" si="64"/>
        <v>13.836</v>
      </c>
      <c r="BF102" s="47">
        <v>11530</v>
      </c>
      <c r="BG102" s="56">
        <v>316</v>
      </c>
      <c r="BH102" s="47">
        <v>75</v>
      </c>
      <c r="BI102" s="51">
        <f t="shared" si="43"/>
        <v>14.31</v>
      </c>
      <c r="BJ102" s="51">
        <f t="shared" si="44"/>
        <v>0</v>
      </c>
      <c r="BK102" s="47"/>
      <c r="BL102" s="47"/>
      <c r="BM102" s="47"/>
      <c r="BN102" s="47"/>
      <c r="BO102" s="47"/>
      <c r="BP102" s="68">
        <v>14.31</v>
      </c>
      <c r="BQ102" s="47"/>
      <c r="BR102" s="47"/>
      <c r="BS102" s="53"/>
      <c r="BT102" s="47"/>
      <c r="BU102" s="47"/>
      <c r="BV102" s="47"/>
      <c r="BW102" s="47"/>
      <c r="BX102" s="47">
        <v>309</v>
      </c>
      <c r="BY102" s="47">
        <v>400</v>
      </c>
      <c r="BZ102" s="47"/>
      <c r="CA102" s="47"/>
      <c r="CB102" s="54">
        <f t="shared" si="45"/>
        <v>1730.0209</v>
      </c>
      <c r="CC102" s="47"/>
      <c r="CD102" s="57"/>
      <c r="CE102" s="47"/>
      <c r="CF102" s="47">
        <f t="shared" si="46"/>
        <v>1730.0209</v>
      </c>
    </row>
    <row r="103" spans="1:84" ht="14.25" customHeight="1">
      <c r="A103" s="47">
        <v>96</v>
      </c>
      <c r="B103" s="47" t="s">
        <v>129</v>
      </c>
      <c r="C103" s="48">
        <v>503006</v>
      </c>
      <c r="D103" s="49" t="s">
        <v>230</v>
      </c>
      <c r="E103" s="49" t="s">
        <v>150</v>
      </c>
      <c r="F103" s="50">
        <f t="shared" si="47"/>
        <v>27</v>
      </c>
      <c r="G103" s="50"/>
      <c r="H103" s="50"/>
      <c r="I103" s="50">
        <v>27</v>
      </c>
      <c r="J103" s="50"/>
      <c r="K103" s="50"/>
      <c r="L103" s="50"/>
      <c r="M103" s="50"/>
      <c r="N103" s="50"/>
      <c r="O103" s="50">
        <f t="shared" si="48"/>
        <v>27</v>
      </c>
      <c r="P103" s="51">
        <f t="shared" si="35"/>
        <v>324.25049999999999</v>
      </c>
      <c r="Q103" s="51">
        <f t="shared" si="36"/>
        <v>298.33049999999997</v>
      </c>
      <c r="R103" s="47">
        <f t="shared" si="49"/>
        <v>92042</v>
      </c>
      <c r="S103" s="58"/>
      <c r="T103" s="58">
        <v>92042</v>
      </c>
      <c r="U103" s="47">
        <f t="shared" si="50"/>
        <v>110.4504</v>
      </c>
      <c r="V103" s="51">
        <f t="shared" si="2"/>
        <v>0</v>
      </c>
      <c r="W103" s="47">
        <f t="shared" si="51"/>
        <v>0</v>
      </c>
      <c r="X103" s="47"/>
      <c r="Y103" s="47"/>
      <c r="Z103" s="47"/>
      <c r="AA103" s="47"/>
      <c r="AB103" s="51">
        <f t="shared" si="65"/>
        <v>38.880000000000003</v>
      </c>
      <c r="AC103" s="47">
        <f t="shared" si="53"/>
        <v>0</v>
      </c>
      <c r="AD103" s="47"/>
      <c r="AE103" s="47"/>
      <c r="AF103" s="47">
        <f t="shared" si="54"/>
        <v>38.880000000000003</v>
      </c>
      <c r="AG103" s="47">
        <v>32400</v>
      </c>
      <c r="AH103" s="47"/>
      <c r="AI103" s="47">
        <f t="shared" si="55"/>
        <v>69.930000000000007</v>
      </c>
      <c r="AJ103" s="53">
        <f t="shared" si="56"/>
        <v>35.081699999999998</v>
      </c>
      <c r="AK103" s="53">
        <f t="shared" si="57"/>
        <v>350817</v>
      </c>
      <c r="AL103" s="47"/>
      <c r="AM103" s="47">
        <f t="shared" si="37"/>
        <v>15.3323</v>
      </c>
      <c r="AN103" s="47">
        <f t="shared" si="38"/>
        <v>14.430400000000001</v>
      </c>
      <c r="AO103" s="47">
        <f t="shared" si="58"/>
        <v>144304</v>
      </c>
      <c r="AP103" s="47">
        <f t="shared" si="39"/>
        <v>0.90190000000000003</v>
      </c>
      <c r="AQ103" s="47">
        <f t="shared" si="59"/>
        <v>9019</v>
      </c>
      <c r="AR103" s="47"/>
      <c r="AS103" s="47">
        <f t="shared" si="60"/>
        <v>2.3449</v>
      </c>
      <c r="AT103" s="47">
        <f t="shared" si="40"/>
        <v>1.0823</v>
      </c>
      <c r="AU103" s="47">
        <f t="shared" si="61"/>
        <v>10823</v>
      </c>
      <c r="AV103" s="47">
        <f t="shared" si="41"/>
        <v>1.2626999999999999</v>
      </c>
      <c r="AW103" s="47">
        <f t="shared" si="62"/>
        <v>12627</v>
      </c>
      <c r="AX103" s="47">
        <f t="shared" si="42"/>
        <v>26.311199999999999</v>
      </c>
      <c r="AY103" s="47"/>
      <c r="AZ103" s="47"/>
      <c r="BA103" s="54">
        <v>1E-4</v>
      </c>
      <c r="BB103" s="55" t="s">
        <v>230</v>
      </c>
      <c r="BC103" s="51">
        <f t="shared" si="63"/>
        <v>25.919999999999998</v>
      </c>
      <c r="BD103" s="47">
        <f t="shared" si="66"/>
        <v>25.919999999999998</v>
      </c>
      <c r="BE103" s="47">
        <f t="shared" si="64"/>
        <v>0</v>
      </c>
      <c r="BF103" s="47"/>
      <c r="BG103" s="56"/>
      <c r="BH103" s="47"/>
      <c r="BI103" s="51">
        <f t="shared" si="43"/>
        <v>0</v>
      </c>
      <c r="BJ103" s="51">
        <f t="shared" si="44"/>
        <v>0</v>
      </c>
      <c r="BK103" s="47"/>
      <c r="BL103" s="47"/>
      <c r="BM103" s="47"/>
      <c r="BN103" s="47"/>
      <c r="BO103" s="47"/>
      <c r="BP103" s="47"/>
      <c r="BQ103" s="47"/>
      <c r="BR103" s="47"/>
      <c r="BS103" s="53"/>
      <c r="BT103" s="47"/>
      <c r="BU103" s="47"/>
      <c r="BV103" s="47"/>
      <c r="BW103" s="47"/>
      <c r="BX103" s="47">
        <v>39</v>
      </c>
      <c r="BY103" s="47"/>
      <c r="BZ103" s="47"/>
      <c r="CA103" s="47"/>
      <c r="CB103" s="54">
        <f t="shared" si="45"/>
        <v>363.25049999999999</v>
      </c>
      <c r="CC103" s="47"/>
      <c r="CD103" s="57"/>
      <c r="CE103" s="47">
        <v>55.5</v>
      </c>
      <c r="CF103" s="47">
        <f t="shared" si="46"/>
        <v>418.75049999999999</v>
      </c>
    </row>
    <row r="104" spans="1:84" ht="14.25" customHeight="1">
      <c r="A104" s="47">
        <v>97</v>
      </c>
      <c r="B104" s="47" t="s">
        <v>129</v>
      </c>
      <c r="C104" s="48">
        <v>503007</v>
      </c>
      <c r="D104" s="69" t="s">
        <v>231</v>
      </c>
      <c r="E104" s="69" t="s">
        <v>150</v>
      </c>
      <c r="F104" s="50">
        <f t="shared" si="47"/>
        <v>17</v>
      </c>
      <c r="G104" s="50"/>
      <c r="H104" s="50"/>
      <c r="I104" s="50">
        <v>17</v>
      </c>
      <c r="J104" s="50"/>
      <c r="K104" s="50"/>
      <c r="L104" s="50"/>
      <c r="M104" s="50"/>
      <c r="N104" s="50"/>
      <c r="O104" s="50">
        <f t="shared" si="48"/>
        <v>17</v>
      </c>
      <c r="P104" s="51">
        <f t="shared" si="35"/>
        <v>312.55439999999999</v>
      </c>
      <c r="Q104" s="51">
        <f t="shared" si="36"/>
        <v>216.23439999999999</v>
      </c>
      <c r="R104" s="47">
        <f t="shared" si="49"/>
        <v>63797</v>
      </c>
      <c r="S104" s="58"/>
      <c r="T104" s="58">
        <v>63797</v>
      </c>
      <c r="U104" s="47">
        <f t="shared" si="50"/>
        <v>76.556399999999996</v>
      </c>
      <c r="V104" s="51">
        <f t="shared" si="2"/>
        <v>15.263999999999999</v>
      </c>
      <c r="W104" s="47">
        <f t="shared" si="51"/>
        <v>0</v>
      </c>
      <c r="X104" s="67">
        <v>15.263999999999999</v>
      </c>
      <c r="Y104" s="47"/>
      <c r="Z104" s="47"/>
      <c r="AA104" s="47"/>
      <c r="AB104" s="51">
        <f t="shared" si="65"/>
        <v>27.948</v>
      </c>
      <c r="AC104" s="47">
        <f t="shared" si="53"/>
        <v>0</v>
      </c>
      <c r="AD104" s="47">
        <v>3.468</v>
      </c>
      <c r="AE104" s="47"/>
      <c r="AF104" s="47">
        <f t="shared" si="54"/>
        <v>24.48</v>
      </c>
      <c r="AG104" s="47">
        <v>20400</v>
      </c>
      <c r="AH104" s="47"/>
      <c r="AI104" s="47">
        <f t="shared" si="55"/>
        <v>44.03</v>
      </c>
      <c r="AJ104" s="53">
        <f t="shared" si="56"/>
        <v>23.210599999999999</v>
      </c>
      <c r="AK104" s="53">
        <f t="shared" si="57"/>
        <v>232106</v>
      </c>
      <c r="AL104" s="47"/>
      <c r="AM104" s="47">
        <f t="shared" si="37"/>
        <v>10.2498</v>
      </c>
      <c r="AN104" s="47">
        <f t="shared" si="38"/>
        <v>9.6469000000000005</v>
      </c>
      <c r="AO104" s="47">
        <f t="shared" si="58"/>
        <v>96469</v>
      </c>
      <c r="AP104" s="47">
        <f t="shared" si="39"/>
        <v>0.60289999999999999</v>
      </c>
      <c r="AQ104" s="47">
        <f t="shared" si="59"/>
        <v>6029</v>
      </c>
      <c r="AR104" s="47"/>
      <c r="AS104" s="47">
        <f t="shared" si="60"/>
        <v>1.5676000000000001</v>
      </c>
      <c r="AT104" s="47">
        <f t="shared" si="40"/>
        <v>0.72350000000000003</v>
      </c>
      <c r="AU104" s="47">
        <f t="shared" si="61"/>
        <v>7235</v>
      </c>
      <c r="AV104" s="47">
        <f t="shared" si="41"/>
        <v>0.84409999999999996</v>
      </c>
      <c r="AW104" s="47">
        <f t="shared" si="62"/>
        <v>8441</v>
      </c>
      <c r="AX104" s="47">
        <f t="shared" si="42"/>
        <v>17.408000000000001</v>
      </c>
      <c r="AY104" s="47"/>
      <c r="AZ104" s="47"/>
      <c r="BA104" s="54">
        <v>1E-4</v>
      </c>
      <c r="BB104" s="70" t="s">
        <v>231</v>
      </c>
      <c r="BC104" s="51">
        <f t="shared" si="63"/>
        <v>96.32</v>
      </c>
      <c r="BD104" s="47">
        <f t="shared" si="66"/>
        <v>16.32</v>
      </c>
      <c r="BE104" s="47">
        <f t="shared" si="64"/>
        <v>0</v>
      </c>
      <c r="BF104" s="47"/>
      <c r="BG104" s="56">
        <v>80</v>
      </c>
      <c r="BH104" s="47"/>
      <c r="BI104" s="51">
        <f t="shared" si="43"/>
        <v>0</v>
      </c>
      <c r="BJ104" s="51">
        <f t="shared" si="44"/>
        <v>0</v>
      </c>
      <c r="BK104" s="47"/>
      <c r="BL104" s="47"/>
      <c r="BM104" s="47"/>
      <c r="BN104" s="47"/>
      <c r="BO104" s="47"/>
      <c r="BP104" s="47"/>
      <c r="BQ104" s="47"/>
      <c r="BR104" s="47"/>
      <c r="BS104" s="53"/>
      <c r="BT104" s="47"/>
      <c r="BU104" s="47"/>
      <c r="BV104" s="47"/>
      <c r="BW104" s="47"/>
      <c r="BX104" s="47"/>
      <c r="BY104" s="47"/>
      <c r="BZ104" s="47"/>
      <c r="CA104" s="47"/>
      <c r="CB104" s="54">
        <f t="shared" ref="CB104:CB135" si="67">P104+BX104+BZ104+BY104+CA104</f>
        <v>312.55439999999999</v>
      </c>
      <c r="CC104" s="47"/>
      <c r="CD104" s="57"/>
      <c r="CE104" s="47"/>
      <c r="CF104" s="47">
        <f t="shared" si="46"/>
        <v>312.55439999999999</v>
      </c>
    </row>
    <row r="105" spans="1:84" ht="14.25" customHeight="1">
      <c r="A105" s="47">
        <v>98</v>
      </c>
      <c r="B105" s="47" t="s">
        <v>129</v>
      </c>
      <c r="C105" s="48">
        <v>503008</v>
      </c>
      <c r="D105" s="69" t="s">
        <v>232</v>
      </c>
      <c r="E105" s="69" t="s">
        <v>150</v>
      </c>
      <c r="F105" s="50">
        <f t="shared" si="47"/>
        <v>12</v>
      </c>
      <c r="G105" s="50"/>
      <c r="H105" s="50"/>
      <c r="I105" s="50">
        <v>8</v>
      </c>
      <c r="J105" s="50">
        <v>4</v>
      </c>
      <c r="K105" s="50"/>
      <c r="L105" s="50"/>
      <c r="M105" s="50"/>
      <c r="N105" s="50"/>
      <c r="O105" s="50">
        <f t="shared" si="48"/>
        <v>12</v>
      </c>
      <c r="P105" s="51">
        <f t="shared" si="35"/>
        <v>168.34559999999999</v>
      </c>
      <c r="Q105" s="51">
        <f t="shared" si="36"/>
        <v>129.82559999999998</v>
      </c>
      <c r="R105" s="47">
        <f t="shared" si="49"/>
        <v>39235</v>
      </c>
      <c r="S105" s="58"/>
      <c r="T105" s="58">
        <v>39235</v>
      </c>
      <c r="U105" s="47">
        <f t="shared" si="50"/>
        <v>47.082000000000001</v>
      </c>
      <c r="V105" s="51">
        <f t="shared" si="2"/>
        <v>0</v>
      </c>
      <c r="W105" s="47">
        <f t="shared" si="51"/>
        <v>0</v>
      </c>
      <c r="X105" s="47"/>
      <c r="Y105" s="47"/>
      <c r="Z105" s="47"/>
      <c r="AA105" s="47"/>
      <c r="AB105" s="51">
        <f t="shared" si="65"/>
        <v>17.28</v>
      </c>
      <c r="AC105" s="47">
        <f t="shared" si="53"/>
        <v>0</v>
      </c>
      <c r="AD105" s="47"/>
      <c r="AE105" s="47"/>
      <c r="AF105" s="47">
        <f t="shared" si="54"/>
        <v>17.28</v>
      </c>
      <c r="AG105" s="47">
        <v>14400</v>
      </c>
      <c r="AH105" s="47"/>
      <c r="AI105" s="47">
        <f t="shared" si="55"/>
        <v>31.08</v>
      </c>
      <c r="AJ105" s="53">
        <f t="shared" si="56"/>
        <v>15.2707</v>
      </c>
      <c r="AK105" s="53">
        <f t="shared" si="57"/>
        <v>152707</v>
      </c>
      <c r="AL105" s="47"/>
      <c r="AM105" s="47">
        <f t="shared" si="37"/>
        <v>6.6437999999999997</v>
      </c>
      <c r="AN105" s="47">
        <f t="shared" si="38"/>
        <v>6.2530000000000001</v>
      </c>
      <c r="AO105" s="47">
        <f t="shared" si="58"/>
        <v>62530</v>
      </c>
      <c r="AP105" s="47">
        <f t="shared" si="39"/>
        <v>0.39079999999999998</v>
      </c>
      <c r="AQ105" s="47">
        <f t="shared" si="59"/>
        <v>3908</v>
      </c>
      <c r="AR105" s="47"/>
      <c r="AS105" s="47">
        <f t="shared" si="60"/>
        <v>1.0161</v>
      </c>
      <c r="AT105" s="47">
        <f t="shared" si="40"/>
        <v>0.46899999999999997</v>
      </c>
      <c r="AU105" s="47">
        <f t="shared" si="61"/>
        <v>4690</v>
      </c>
      <c r="AV105" s="47">
        <f t="shared" si="41"/>
        <v>0.54710000000000003</v>
      </c>
      <c r="AW105" s="47">
        <f t="shared" si="62"/>
        <v>5471</v>
      </c>
      <c r="AX105" s="47">
        <f t="shared" si="42"/>
        <v>11.452999999999999</v>
      </c>
      <c r="AY105" s="47"/>
      <c r="AZ105" s="47"/>
      <c r="BA105" s="54">
        <v>1E-4</v>
      </c>
      <c r="BB105" s="70" t="s">
        <v>232</v>
      </c>
      <c r="BC105" s="51">
        <f t="shared" si="63"/>
        <v>38.519999999999996</v>
      </c>
      <c r="BD105" s="47">
        <f t="shared" si="66"/>
        <v>11.52</v>
      </c>
      <c r="BE105" s="47">
        <f t="shared" si="64"/>
        <v>0</v>
      </c>
      <c r="BF105" s="47"/>
      <c r="BG105" s="56">
        <v>27</v>
      </c>
      <c r="BH105" s="47"/>
      <c r="BI105" s="51">
        <f t="shared" si="43"/>
        <v>0</v>
      </c>
      <c r="BJ105" s="51">
        <f t="shared" si="44"/>
        <v>0</v>
      </c>
      <c r="BK105" s="47"/>
      <c r="BL105" s="47"/>
      <c r="BM105" s="47"/>
      <c r="BN105" s="47"/>
      <c r="BO105" s="47"/>
      <c r="BP105" s="47"/>
      <c r="BQ105" s="47"/>
      <c r="BR105" s="47"/>
      <c r="BS105" s="53"/>
      <c r="BT105" s="47"/>
      <c r="BU105" s="47"/>
      <c r="BV105" s="47"/>
      <c r="BW105" s="47"/>
      <c r="BX105" s="47"/>
      <c r="BY105" s="47"/>
      <c r="BZ105" s="47"/>
      <c r="CA105" s="47"/>
      <c r="CB105" s="54">
        <f t="shared" si="67"/>
        <v>168.34559999999999</v>
      </c>
      <c r="CC105" s="47"/>
      <c r="CD105" s="57"/>
      <c r="CE105" s="47"/>
      <c r="CF105" s="47">
        <f t="shared" si="46"/>
        <v>168.34559999999999</v>
      </c>
    </row>
    <row r="106" spans="1:84" ht="14.25" customHeight="1">
      <c r="A106" s="47">
        <v>99</v>
      </c>
      <c r="B106" s="47" t="s">
        <v>129</v>
      </c>
      <c r="C106" s="48">
        <v>503003</v>
      </c>
      <c r="D106" s="49" t="s">
        <v>233</v>
      </c>
      <c r="E106" s="49" t="s">
        <v>150</v>
      </c>
      <c r="F106" s="50">
        <f t="shared" si="47"/>
        <v>80</v>
      </c>
      <c r="G106" s="50"/>
      <c r="H106" s="50"/>
      <c r="I106" s="50">
        <v>80</v>
      </c>
      <c r="J106" s="50"/>
      <c r="K106" s="50"/>
      <c r="L106" s="50">
        <v>22</v>
      </c>
      <c r="M106" s="50"/>
      <c r="N106" s="50">
        <v>139</v>
      </c>
      <c r="O106" s="50">
        <f t="shared" si="48"/>
        <v>241</v>
      </c>
      <c r="P106" s="51">
        <f t="shared" si="35"/>
        <v>1106.6763000000001</v>
      </c>
      <c r="Q106" s="51">
        <f t="shared" si="36"/>
        <v>962.81229999999994</v>
      </c>
      <c r="R106" s="47">
        <f t="shared" si="49"/>
        <v>362856</v>
      </c>
      <c r="S106" s="58"/>
      <c r="T106" s="51">
        <v>362856</v>
      </c>
      <c r="U106" s="47">
        <f>ROUND((292016*12/10000+L106*800*12/10000),5)</f>
        <v>371.53919999999999</v>
      </c>
      <c r="V106" s="51">
        <f t="shared" si="2"/>
        <v>67.751999999999995</v>
      </c>
      <c r="W106" s="47">
        <f t="shared" si="51"/>
        <v>0</v>
      </c>
      <c r="X106" s="67">
        <v>67.751999999999995</v>
      </c>
      <c r="Y106" s="47"/>
      <c r="Z106" s="47"/>
      <c r="AA106" s="47"/>
      <c r="AB106" s="51">
        <f t="shared" si="65"/>
        <v>13.26</v>
      </c>
      <c r="AC106" s="47">
        <f t="shared" si="53"/>
        <v>0</v>
      </c>
      <c r="AD106" s="47">
        <v>13.26</v>
      </c>
      <c r="AE106" s="47"/>
      <c r="AF106" s="47"/>
      <c r="AG106" s="47">
        <f>65*1200</f>
        <v>78000</v>
      </c>
      <c r="AH106" s="47"/>
      <c r="AI106" s="47">
        <v>207.2</v>
      </c>
      <c r="AJ106" s="53">
        <v>126.9132</v>
      </c>
      <c r="AK106" s="53">
        <v>1269132</v>
      </c>
      <c r="AL106" s="67">
        <v>11.359</v>
      </c>
      <c r="AM106" s="47">
        <v>60.509099999999997</v>
      </c>
      <c r="AN106" s="47">
        <v>57.011099999999999</v>
      </c>
      <c r="AO106" s="47">
        <v>570111</v>
      </c>
      <c r="AP106" s="47">
        <v>3.4980000000000002</v>
      </c>
      <c r="AQ106" s="47">
        <v>34980</v>
      </c>
      <c r="AR106" s="47"/>
      <c r="AS106" s="47">
        <v>9.0949000000000009</v>
      </c>
      <c r="AT106" s="47">
        <v>4.1976000000000004</v>
      </c>
      <c r="AU106" s="47">
        <v>41976</v>
      </c>
      <c r="AV106" s="47">
        <v>4.8973000000000004</v>
      </c>
      <c r="AW106" s="47">
        <v>48973</v>
      </c>
      <c r="AX106" s="47">
        <v>95.184899999999999</v>
      </c>
      <c r="AY106" s="47"/>
      <c r="AZ106" s="47"/>
      <c r="BA106" s="54">
        <v>1E-4</v>
      </c>
      <c r="BB106" s="55" t="s">
        <v>233</v>
      </c>
      <c r="BC106" s="51">
        <f t="shared" si="63"/>
        <v>99.8</v>
      </c>
      <c r="BD106" s="47">
        <f t="shared" si="66"/>
        <v>76.8</v>
      </c>
      <c r="BE106" s="47">
        <f t="shared" si="64"/>
        <v>0</v>
      </c>
      <c r="BF106" s="47"/>
      <c r="BG106" s="56">
        <v>23</v>
      </c>
      <c r="BH106" s="47"/>
      <c r="BI106" s="51">
        <f t="shared" si="43"/>
        <v>44.064</v>
      </c>
      <c r="BJ106" s="51">
        <f t="shared" si="44"/>
        <v>34.271999999999998</v>
      </c>
      <c r="BK106" s="68">
        <v>34.271999999999998</v>
      </c>
      <c r="BL106" s="68"/>
      <c r="BM106" s="47"/>
      <c r="BN106" s="47"/>
      <c r="BO106" s="47"/>
      <c r="BP106" s="68">
        <v>9.7919999999999998</v>
      </c>
      <c r="BQ106" s="47"/>
      <c r="BR106" s="47"/>
      <c r="BS106" s="53"/>
      <c r="BT106" s="47"/>
      <c r="BU106" s="47"/>
      <c r="BV106" s="47"/>
      <c r="BW106" s="47"/>
      <c r="BX106" s="47"/>
      <c r="BY106" s="47"/>
      <c r="BZ106" s="47"/>
      <c r="CA106" s="47"/>
      <c r="CB106" s="54">
        <f t="shared" si="67"/>
        <v>1106.6763000000001</v>
      </c>
      <c r="CC106" s="47"/>
      <c r="CD106" s="57"/>
      <c r="CE106" s="47"/>
      <c r="CF106" s="47">
        <f t="shared" si="46"/>
        <v>1106.6763000000001</v>
      </c>
    </row>
    <row r="107" spans="1:84" ht="14.25" customHeight="1">
      <c r="A107" s="47">
        <v>100</v>
      </c>
      <c r="B107" s="47" t="s">
        <v>129</v>
      </c>
      <c r="C107" s="48">
        <v>503002</v>
      </c>
      <c r="D107" s="49" t="s">
        <v>234</v>
      </c>
      <c r="E107" s="49" t="s">
        <v>150</v>
      </c>
      <c r="F107" s="50">
        <f t="shared" si="47"/>
        <v>70</v>
      </c>
      <c r="G107" s="50"/>
      <c r="H107" s="50"/>
      <c r="I107" s="50">
        <v>70</v>
      </c>
      <c r="J107" s="50"/>
      <c r="K107" s="50"/>
      <c r="L107" s="50">
        <v>66</v>
      </c>
      <c r="M107" s="50"/>
      <c r="N107" s="50">
        <v>350</v>
      </c>
      <c r="O107" s="50">
        <f t="shared" si="48"/>
        <v>486</v>
      </c>
      <c r="P107" s="51">
        <f t="shared" si="35"/>
        <v>1214.1293000000001</v>
      </c>
      <c r="Q107" s="51">
        <f t="shared" si="36"/>
        <v>994.88529999999992</v>
      </c>
      <c r="R107" s="47">
        <f t="shared" si="49"/>
        <v>478467</v>
      </c>
      <c r="S107" s="58"/>
      <c r="T107" s="51">
        <v>478467</v>
      </c>
      <c r="U107" s="47">
        <f>ROUND((263040*12/10000+L107*800*12/10000),5)</f>
        <v>379.00799999999998</v>
      </c>
      <c r="V107" s="51">
        <f t="shared" si="2"/>
        <v>29.808</v>
      </c>
      <c r="W107" s="47">
        <f t="shared" si="51"/>
        <v>0</v>
      </c>
      <c r="X107" s="67">
        <v>29.808</v>
      </c>
      <c r="Y107" s="47"/>
      <c r="Z107" s="47"/>
      <c r="AA107" s="47"/>
      <c r="AB107" s="51">
        <f t="shared" si="65"/>
        <v>5.9160000000000004</v>
      </c>
      <c r="AC107" s="47">
        <f t="shared" si="53"/>
        <v>0</v>
      </c>
      <c r="AD107" s="47">
        <v>5.9160000000000004</v>
      </c>
      <c r="AE107" s="47"/>
      <c r="AF107" s="47"/>
      <c r="AG107" s="47">
        <f>29*1200</f>
        <v>34800</v>
      </c>
      <c r="AH107" s="47"/>
      <c r="AI107" s="47">
        <v>181.3</v>
      </c>
      <c r="AJ107" s="53">
        <v>154.9057</v>
      </c>
      <c r="AK107" s="53">
        <v>1549057</v>
      </c>
      <c r="AL107" s="67">
        <v>34.356200000000001</v>
      </c>
      <c r="AM107" s="47">
        <v>81.369</v>
      </c>
      <c r="AN107" s="47">
        <v>76.736999999999995</v>
      </c>
      <c r="AO107" s="47">
        <v>767370</v>
      </c>
      <c r="AP107" s="47">
        <v>4.6319999999999997</v>
      </c>
      <c r="AQ107" s="47">
        <v>46320</v>
      </c>
      <c r="AR107" s="47"/>
      <c r="AS107" s="47">
        <v>12.043200000000001</v>
      </c>
      <c r="AT107" s="47">
        <v>5.5583999999999998</v>
      </c>
      <c r="AU107" s="47">
        <v>55584</v>
      </c>
      <c r="AV107" s="47">
        <v>6.4847999999999999</v>
      </c>
      <c r="AW107" s="47">
        <v>64848</v>
      </c>
      <c r="AX107" s="47">
        <v>116.17919999999999</v>
      </c>
      <c r="AY107" s="47"/>
      <c r="AZ107" s="47"/>
      <c r="BA107" s="54">
        <v>1E-4</v>
      </c>
      <c r="BB107" s="55" t="s">
        <v>234</v>
      </c>
      <c r="BC107" s="51">
        <f t="shared" si="63"/>
        <v>119.2</v>
      </c>
      <c r="BD107" s="47">
        <f t="shared" si="66"/>
        <v>67.2</v>
      </c>
      <c r="BE107" s="47">
        <f t="shared" si="64"/>
        <v>0</v>
      </c>
      <c r="BF107" s="47"/>
      <c r="BG107" s="56">
        <v>52</v>
      </c>
      <c r="BH107" s="47"/>
      <c r="BI107" s="51">
        <f t="shared" si="43"/>
        <v>100.044</v>
      </c>
      <c r="BJ107" s="51">
        <f t="shared" si="44"/>
        <v>86.94</v>
      </c>
      <c r="BK107" s="68">
        <v>86.94</v>
      </c>
      <c r="BL107" s="68"/>
      <c r="BM107" s="47"/>
      <c r="BN107" s="47"/>
      <c r="BO107" s="47"/>
      <c r="BP107" s="68">
        <v>13.103999999999999</v>
      </c>
      <c r="BQ107" s="47"/>
      <c r="BR107" s="47"/>
      <c r="BS107" s="53"/>
      <c r="BT107" s="47"/>
      <c r="BU107" s="47"/>
      <c r="BV107" s="47"/>
      <c r="BW107" s="47"/>
      <c r="BX107" s="47"/>
      <c r="BY107" s="47"/>
      <c r="BZ107" s="47"/>
      <c r="CA107" s="47"/>
      <c r="CB107" s="54">
        <f t="shared" si="67"/>
        <v>1214.1293000000001</v>
      </c>
      <c r="CC107" s="47"/>
      <c r="CD107" s="57"/>
      <c r="CE107" s="47"/>
      <c r="CF107" s="47">
        <f t="shared" si="46"/>
        <v>1214.1293000000001</v>
      </c>
    </row>
    <row r="108" spans="1:84" ht="14.25" customHeight="1">
      <c r="A108" s="47">
        <v>101</v>
      </c>
      <c r="B108" s="47" t="s">
        <v>129</v>
      </c>
      <c r="C108" s="48">
        <v>503004</v>
      </c>
      <c r="D108" s="49" t="s">
        <v>235</v>
      </c>
      <c r="E108" s="49" t="s">
        <v>150</v>
      </c>
      <c r="F108" s="50">
        <f t="shared" si="47"/>
        <v>45</v>
      </c>
      <c r="G108" s="50"/>
      <c r="H108" s="50"/>
      <c r="I108" s="50">
        <v>45</v>
      </c>
      <c r="J108" s="50"/>
      <c r="K108" s="50"/>
      <c r="L108" s="50">
        <v>20</v>
      </c>
      <c r="M108" s="50"/>
      <c r="N108" s="50">
        <v>94</v>
      </c>
      <c r="O108" s="50">
        <f t="shared" si="48"/>
        <v>159</v>
      </c>
      <c r="P108" s="51">
        <f t="shared" si="35"/>
        <v>684.50900000000001</v>
      </c>
      <c r="Q108" s="51">
        <f t="shared" si="36"/>
        <v>597.32100000000003</v>
      </c>
      <c r="R108" s="47">
        <f t="shared" si="49"/>
        <v>242557</v>
      </c>
      <c r="S108" s="58"/>
      <c r="T108" s="51">
        <v>242557</v>
      </c>
      <c r="U108" s="47">
        <f>ROUND((176746*12/10000+L108*800*12/10000),5)</f>
        <v>231.29519999999999</v>
      </c>
      <c r="V108" s="51">
        <f t="shared" si="2"/>
        <v>40.968000000000004</v>
      </c>
      <c r="W108" s="47">
        <f t="shared" si="51"/>
        <v>0</v>
      </c>
      <c r="X108" s="67">
        <v>40.968000000000004</v>
      </c>
      <c r="Y108" s="47"/>
      <c r="Z108" s="47"/>
      <c r="AA108" s="47"/>
      <c r="AB108" s="51">
        <f t="shared" si="65"/>
        <v>7.9560000000000004</v>
      </c>
      <c r="AC108" s="47">
        <f t="shared" si="53"/>
        <v>0</v>
      </c>
      <c r="AD108" s="47">
        <v>7.9560000000000004</v>
      </c>
      <c r="AE108" s="47"/>
      <c r="AF108" s="47"/>
      <c r="AG108" s="47">
        <v>46800</v>
      </c>
      <c r="AH108" s="47"/>
      <c r="AI108" s="47">
        <v>116.55</v>
      </c>
      <c r="AJ108" s="53">
        <v>82.492500000000007</v>
      </c>
      <c r="AK108" s="53">
        <v>824925</v>
      </c>
      <c r="AL108" s="67">
        <v>10.4619</v>
      </c>
      <c r="AM108" s="47">
        <v>39.755600000000001</v>
      </c>
      <c r="AN108" s="47">
        <v>37.458500000000001</v>
      </c>
      <c r="AO108" s="47">
        <v>374585</v>
      </c>
      <c r="AP108" s="47">
        <v>2.2970999999999999</v>
      </c>
      <c r="AQ108" s="47">
        <v>22971</v>
      </c>
      <c r="AR108" s="47"/>
      <c r="AS108" s="47">
        <v>5.9724000000000004</v>
      </c>
      <c r="AT108" s="47">
        <v>2.7565</v>
      </c>
      <c r="AU108" s="47">
        <v>27565</v>
      </c>
      <c r="AV108" s="47">
        <v>3.2159</v>
      </c>
      <c r="AW108" s="47">
        <v>32159</v>
      </c>
      <c r="AX108" s="47">
        <v>61.869399999999999</v>
      </c>
      <c r="AY108" s="47"/>
      <c r="AZ108" s="47"/>
      <c r="BA108" s="54">
        <v>1E-4</v>
      </c>
      <c r="BB108" s="55" t="s">
        <v>235</v>
      </c>
      <c r="BC108" s="51">
        <f t="shared" si="63"/>
        <v>57.199999999999996</v>
      </c>
      <c r="BD108" s="47">
        <f t="shared" si="66"/>
        <v>43.199999999999996</v>
      </c>
      <c r="BE108" s="47">
        <f t="shared" si="64"/>
        <v>0</v>
      </c>
      <c r="BF108" s="47"/>
      <c r="BG108" s="56">
        <v>14</v>
      </c>
      <c r="BH108" s="47"/>
      <c r="BI108" s="51">
        <f t="shared" si="43"/>
        <v>29.988</v>
      </c>
      <c r="BJ108" s="51">
        <f t="shared" si="44"/>
        <v>20.411999999999999</v>
      </c>
      <c r="BK108" s="68">
        <v>20.411999999999999</v>
      </c>
      <c r="BL108" s="68"/>
      <c r="BM108" s="47"/>
      <c r="BN108" s="47"/>
      <c r="BO108" s="47"/>
      <c r="BP108" s="68">
        <v>9.5760000000000005</v>
      </c>
      <c r="BQ108" s="47"/>
      <c r="BR108" s="47"/>
      <c r="BS108" s="53"/>
      <c r="BT108" s="47"/>
      <c r="BU108" s="47"/>
      <c r="BV108" s="47"/>
      <c r="BW108" s="47"/>
      <c r="BX108" s="47"/>
      <c r="BY108" s="47"/>
      <c r="BZ108" s="47"/>
      <c r="CA108" s="47"/>
      <c r="CB108" s="54">
        <f t="shared" si="67"/>
        <v>684.50900000000001</v>
      </c>
      <c r="CC108" s="47"/>
      <c r="CD108" s="57"/>
      <c r="CE108" s="47"/>
      <c r="CF108" s="47">
        <f t="shared" si="46"/>
        <v>684.50900000000001</v>
      </c>
    </row>
    <row r="109" spans="1:84" ht="14.25" customHeight="1">
      <c r="A109" s="47">
        <v>102</v>
      </c>
      <c r="B109" s="47" t="s">
        <v>129</v>
      </c>
      <c r="C109" s="48">
        <v>503005</v>
      </c>
      <c r="D109" s="49" t="s">
        <v>236</v>
      </c>
      <c r="E109" s="49" t="s">
        <v>150</v>
      </c>
      <c r="F109" s="50">
        <f t="shared" si="47"/>
        <v>10</v>
      </c>
      <c r="G109" s="50"/>
      <c r="H109" s="50"/>
      <c r="I109" s="50">
        <v>10</v>
      </c>
      <c r="J109" s="50"/>
      <c r="K109" s="50"/>
      <c r="L109" s="50">
        <v>13</v>
      </c>
      <c r="M109" s="50"/>
      <c r="N109" s="50">
        <v>48</v>
      </c>
      <c r="O109" s="50">
        <f t="shared" si="48"/>
        <v>71</v>
      </c>
      <c r="P109" s="51">
        <f t="shared" si="35"/>
        <v>204.58589999999998</v>
      </c>
      <c r="Q109" s="51">
        <f t="shared" si="36"/>
        <v>166.81789999999998</v>
      </c>
      <c r="R109" s="47">
        <f t="shared" si="49"/>
        <v>81445</v>
      </c>
      <c r="S109" s="58"/>
      <c r="T109" s="51">
        <v>81445</v>
      </c>
      <c r="U109" s="47">
        <f>ROUND((38105*12/10000+L109*800*12/10000),5)</f>
        <v>58.206000000000003</v>
      </c>
      <c r="V109" s="51">
        <f t="shared" si="2"/>
        <v>10.368</v>
      </c>
      <c r="W109" s="47">
        <f t="shared" si="51"/>
        <v>0</v>
      </c>
      <c r="X109" s="67">
        <v>10.368</v>
      </c>
      <c r="Y109" s="47"/>
      <c r="Z109" s="47"/>
      <c r="AA109" s="47"/>
      <c r="AB109" s="51">
        <f t="shared" si="65"/>
        <v>2.04</v>
      </c>
      <c r="AC109" s="47">
        <f t="shared" si="53"/>
        <v>0</v>
      </c>
      <c r="AD109" s="47">
        <v>2.04</v>
      </c>
      <c r="AE109" s="47"/>
      <c r="AF109" s="47"/>
      <c r="AG109" s="47">
        <f>9*1200</f>
        <v>10800</v>
      </c>
      <c r="AH109" s="47"/>
      <c r="AI109" s="47">
        <v>25.9</v>
      </c>
      <c r="AJ109" s="53">
        <v>27.2422</v>
      </c>
      <c r="AK109" s="53">
        <v>272422</v>
      </c>
      <c r="AL109" s="67">
        <v>6.8541999999999996</v>
      </c>
      <c r="AM109" s="47">
        <v>13.7308</v>
      </c>
      <c r="AN109" s="47">
        <v>12.9443</v>
      </c>
      <c r="AO109" s="47">
        <v>129443</v>
      </c>
      <c r="AP109" s="47">
        <v>0.78649999999999998</v>
      </c>
      <c r="AQ109" s="47">
        <v>7865</v>
      </c>
      <c r="AR109" s="47"/>
      <c r="AS109" s="47">
        <v>2.0449999999999999</v>
      </c>
      <c r="AT109" s="47">
        <v>0.94379999999999997</v>
      </c>
      <c r="AU109" s="47">
        <v>9438</v>
      </c>
      <c r="AV109" s="47">
        <v>1.1011</v>
      </c>
      <c r="AW109" s="47">
        <v>11011</v>
      </c>
      <c r="AX109" s="47">
        <v>20.431699999999999</v>
      </c>
      <c r="AY109" s="47"/>
      <c r="AZ109" s="47"/>
      <c r="BA109" s="54">
        <v>1E-4</v>
      </c>
      <c r="BB109" s="55" t="s">
        <v>236</v>
      </c>
      <c r="BC109" s="51">
        <f t="shared" si="63"/>
        <v>25.6</v>
      </c>
      <c r="BD109" s="47">
        <f t="shared" si="66"/>
        <v>9.6</v>
      </c>
      <c r="BE109" s="47">
        <f t="shared" si="64"/>
        <v>0</v>
      </c>
      <c r="BF109" s="47"/>
      <c r="BG109" s="56">
        <v>16</v>
      </c>
      <c r="BH109" s="47"/>
      <c r="BI109" s="51">
        <f t="shared" si="43"/>
        <v>12.167999999999999</v>
      </c>
      <c r="BJ109" s="51">
        <f t="shared" si="44"/>
        <v>11.34</v>
      </c>
      <c r="BK109" s="68">
        <v>11.34</v>
      </c>
      <c r="BL109" s="68"/>
      <c r="BM109" s="47"/>
      <c r="BN109" s="47"/>
      <c r="BO109" s="47"/>
      <c r="BP109" s="68">
        <v>0.82799999999999996</v>
      </c>
      <c r="BQ109" s="47"/>
      <c r="BR109" s="47"/>
      <c r="BS109" s="53"/>
      <c r="BT109" s="47"/>
      <c r="BU109" s="47"/>
      <c r="BV109" s="47"/>
      <c r="BW109" s="47"/>
      <c r="BX109" s="47"/>
      <c r="BY109" s="47"/>
      <c r="BZ109" s="47"/>
      <c r="CA109" s="47"/>
      <c r="CB109" s="54">
        <f t="shared" si="67"/>
        <v>204.58589999999998</v>
      </c>
      <c r="CC109" s="47"/>
      <c r="CD109" s="57"/>
      <c r="CE109" s="47"/>
      <c r="CF109" s="47">
        <f t="shared" si="46"/>
        <v>204.58589999999998</v>
      </c>
    </row>
    <row r="110" spans="1:84" ht="14.25" customHeight="1">
      <c r="A110" s="47">
        <v>103</v>
      </c>
      <c r="B110" s="47" t="s">
        <v>129</v>
      </c>
      <c r="C110" s="48">
        <v>502001</v>
      </c>
      <c r="D110" s="49" t="s">
        <v>237</v>
      </c>
      <c r="E110" s="49" t="s">
        <v>131</v>
      </c>
      <c r="F110" s="50">
        <f t="shared" si="47"/>
        <v>61</v>
      </c>
      <c r="G110" s="50">
        <v>26</v>
      </c>
      <c r="H110" s="50">
        <v>9</v>
      </c>
      <c r="I110" s="50">
        <v>16</v>
      </c>
      <c r="J110" s="50">
        <v>10</v>
      </c>
      <c r="K110" s="50"/>
      <c r="L110" s="50"/>
      <c r="M110" s="50"/>
      <c r="N110" s="50">
        <v>23</v>
      </c>
      <c r="O110" s="50">
        <f t="shared" si="48"/>
        <v>84</v>
      </c>
      <c r="P110" s="51">
        <f t="shared" si="35"/>
        <v>1211.6251000000002</v>
      </c>
      <c r="Q110" s="51">
        <f t="shared" si="36"/>
        <v>745.49910000000011</v>
      </c>
      <c r="R110" s="47">
        <f t="shared" si="49"/>
        <v>220883</v>
      </c>
      <c r="S110" s="58">
        <v>126705</v>
      </c>
      <c r="T110" s="51">
        <v>94178</v>
      </c>
      <c r="U110" s="47">
        <f t="shared" si="50"/>
        <v>265.05959999999999</v>
      </c>
      <c r="V110" s="51">
        <f t="shared" si="2"/>
        <v>78.75</v>
      </c>
      <c r="W110" s="47">
        <f t="shared" si="51"/>
        <v>78.75</v>
      </c>
      <c r="X110" s="47"/>
      <c r="Y110" s="47"/>
      <c r="Z110" s="47"/>
      <c r="AA110" s="47"/>
      <c r="AB110" s="51">
        <f t="shared" si="65"/>
        <v>108.8109</v>
      </c>
      <c r="AC110" s="47">
        <f t="shared" si="53"/>
        <v>12.670500000000001</v>
      </c>
      <c r="AD110" s="47"/>
      <c r="AE110" s="47"/>
      <c r="AF110" s="47">
        <f t="shared" si="54"/>
        <v>96.1404</v>
      </c>
      <c r="AG110" s="47">
        <v>80117</v>
      </c>
      <c r="AH110" s="47"/>
      <c r="AI110" s="47">
        <f t="shared" si="55"/>
        <v>67.34</v>
      </c>
      <c r="AJ110" s="53">
        <f t="shared" si="56"/>
        <v>83.193700000000007</v>
      </c>
      <c r="AK110" s="53">
        <f t="shared" si="57"/>
        <v>831937.00000000012</v>
      </c>
      <c r="AL110" s="47"/>
      <c r="AM110" s="47">
        <f t="shared" ref="AM110:AM132" si="68">ROUND(((U110+W110+AI110)*0.085+N110*0.0075),4)</f>
        <v>35.120199999999997</v>
      </c>
      <c r="AN110" s="47">
        <f t="shared" ref="AN110:AN132" si="69">ROUND(((U110+W110+AI110)*0.08+N110*0.0075),4)</f>
        <v>33.064500000000002</v>
      </c>
      <c r="AO110" s="47">
        <f t="shared" si="58"/>
        <v>330645</v>
      </c>
      <c r="AP110" s="47">
        <f t="shared" si="39"/>
        <v>2.0556999999999999</v>
      </c>
      <c r="AQ110" s="47">
        <f t="shared" si="59"/>
        <v>20557</v>
      </c>
      <c r="AR110" s="47"/>
      <c r="AS110" s="47">
        <f t="shared" si="60"/>
        <v>3.7294</v>
      </c>
      <c r="AT110" s="47">
        <f t="shared" ref="AT110:AT123" si="70">ROUND(((U110+W110+AI110)*0.006),4)</f>
        <v>2.4668999999999999</v>
      </c>
      <c r="AU110" s="47">
        <f t="shared" si="61"/>
        <v>24669</v>
      </c>
      <c r="AV110" s="47">
        <f t="shared" ref="AV110:AV159" si="71">ROUND(((T110*12/10000+AI110)*0.007),4)</f>
        <v>1.2625</v>
      </c>
      <c r="AW110" s="47">
        <f t="shared" si="62"/>
        <v>12625</v>
      </c>
      <c r="AX110" s="47">
        <f t="shared" si="42"/>
        <v>62.395299999999999</v>
      </c>
      <c r="AY110" s="47"/>
      <c r="AZ110" s="67">
        <v>41.1</v>
      </c>
      <c r="BA110" s="54">
        <v>1E-4</v>
      </c>
      <c r="BB110" s="55" t="s">
        <v>237</v>
      </c>
      <c r="BC110" s="51">
        <f t="shared" si="63"/>
        <v>382.76</v>
      </c>
      <c r="BD110" s="47">
        <f t="shared" si="66"/>
        <v>66.960000000000008</v>
      </c>
      <c r="BE110" s="47">
        <f t="shared" si="64"/>
        <v>24.3</v>
      </c>
      <c r="BF110" s="47">
        <v>20250</v>
      </c>
      <c r="BG110" s="56">
        <v>282</v>
      </c>
      <c r="BH110" s="47">
        <v>9.5</v>
      </c>
      <c r="BI110" s="51">
        <f t="shared" si="43"/>
        <v>83.366</v>
      </c>
      <c r="BJ110" s="51">
        <f t="shared" si="44"/>
        <v>0</v>
      </c>
      <c r="BK110" s="47"/>
      <c r="BL110" s="47"/>
      <c r="BM110" s="47"/>
      <c r="BN110" s="47"/>
      <c r="BO110" s="47"/>
      <c r="BP110" s="68">
        <v>11.196</v>
      </c>
      <c r="BQ110" s="47"/>
      <c r="BR110" s="47"/>
      <c r="BS110" s="53"/>
      <c r="BT110" s="47"/>
      <c r="BU110" s="47"/>
      <c r="BV110" s="47"/>
      <c r="BW110" s="47">
        <v>72.17</v>
      </c>
      <c r="BX110" s="47">
        <v>1462</v>
      </c>
      <c r="BY110" s="47"/>
      <c r="BZ110" s="47"/>
      <c r="CA110" s="47"/>
      <c r="CB110" s="54">
        <f t="shared" si="67"/>
        <v>2673.6251000000002</v>
      </c>
      <c r="CC110" s="47"/>
      <c r="CD110" s="57"/>
      <c r="CE110" s="47"/>
      <c r="CF110" s="47">
        <f t="shared" si="46"/>
        <v>2673.6251000000002</v>
      </c>
    </row>
    <row r="111" spans="1:84" ht="14.25" customHeight="1">
      <c r="A111" s="47">
        <v>104</v>
      </c>
      <c r="B111" s="47" t="s">
        <v>129</v>
      </c>
      <c r="C111" s="48">
        <v>506001</v>
      </c>
      <c r="D111" s="49" t="s">
        <v>238</v>
      </c>
      <c r="E111" s="49" t="s">
        <v>141</v>
      </c>
      <c r="F111" s="50">
        <f t="shared" si="47"/>
        <v>24</v>
      </c>
      <c r="G111" s="50">
        <v>17</v>
      </c>
      <c r="H111" s="50">
        <v>1</v>
      </c>
      <c r="I111" s="50">
        <v>6</v>
      </c>
      <c r="J111" s="50"/>
      <c r="K111" s="50"/>
      <c r="L111" s="50"/>
      <c r="M111" s="50"/>
      <c r="N111" s="50">
        <v>1</v>
      </c>
      <c r="O111" s="50">
        <f t="shared" si="48"/>
        <v>25</v>
      </c>
      <c r="P111" s="51">
        <f t="shared" si="35"/>
        <v>447.8229</v>
      </c>
      <c r="Q111" s="51">
        <f t="shared" si="36"/>
        <v>296.27089999999998</v>
      </c>
      <c r="R111" s="47">
        <f t="shared" si="49"/>
        <v>95045</v>
      </c>
      <c r="S111" s="58">
        <v>76839</v>
      </c>
      <c r="T111" s="58">
        <v>18206</v>
      </c>
      <c r="U111" s="47">
        <f t="shared" si="50"/>
        <v>114.054</v>
      </c>
      <c r="V111" s="51">
        <f t="shared" si="2"/>
        <v>40.5</v>
      </c>
      <c r="W111" s="47">
        <f t="shared" si="51"/>
        <v>40.5</v>
      </c>
      <c r="X111" s="47"/>
      <c r="Y111" s="47"/>
      <c r="Z111" s="47"/>
      <c r="AA111" s="47"/>
      <c r="AB111" s="51">
        <f t="shared" si="65"/>
        <v>49.064700000000002</v>
      </c>
      <c r="AC111" s="47">
        <f t="shared" si="53"/>
        <v>7.6839000000000004</v>
      </c>
      <c r="AD111" s="47"/>
      <c r="AE111" s="47"/>
      <c r="AF111" s="47">
        <f t="shared" si="54"/>
        <v>41.380800000000001</v>
      </c>
      <c r="AG111" s="47">
        <v>34484</v>
      </c>
      <c r="AH111" s="47"/>
      <c r="AI111" s="47">
        <f t="shared" si="55"/>
        <v>15.54</v>
      </c>
      <c r="AJ111" s="53">
        <f t="shared" si="56"/>
        <v>35.065399999999997</v>
      </c>
      <c r="AK111" s="53">
        <f t="shared" si="57"/>
        <v>350653.99999999994</v>
      </c>
      <c r="AL111" s="47"/>
      <c r="AM111" s="47">
        <f t="shared" si="68"/>
        <v>14.4655</v>
      </c>
      <c r="AN111" s="47">
        <f t="shared" si="69"/>
        <v>13.615</v>
      </c>
      <c r="AO111" s="47">
        <f t="shared" si="58"/>
        <v>136150</v>
      </c>
      <c r="AP111" s="47">
        <f t="shared" si="39"/>
        <v>0.85050000000000003</v>
      </c>
      <c r="AQ111" s="47">
        <f t="shared" si="59"/>
        <v>8505</v>
      </c>
      <c r="AR111" s="47"/>
      <c r="AS111" s="47">
        <f t="shared" si="60"/>
        <v>1.2823</v>
      </c>
      <c r="AT111" s="47">
        <f t="shared" si="70"/>
        <v>1.0206</v>
      </c>
      <c r="AU111" s="47">
        <f t="shared" si="61"/>
        <v>10206</v>
      </c>
      <c r="AV111" s="47">
        <f t="shared" si="71"/>
        <v>0.26169999999999999</v>
      </c>
      <c r="AW111" s="47">
        <f t="shared" si="62"/>
        <v>2617</v>
      </c>
      <c r="AX111" s="47">
        <f t="shared" si="42"/>
        <v>26.298999999999999</v>
      </c>
      <c r="AY111" s="47"/>
      <c r="AZ111" s="47"/>
      <c r="BA111" s="54">
        <v>1E-4</v>
      </c>
      <c r="BB111" s="55" t="s">
        <v>238</v>
      </c>
      <c r="BC111" s="51">
        <f t="shared" si="63"/>
        <v>151.55199999999999</v>
      </c>
      <c r="BD111" s="47">
        <f t="shared" si="66"/>
        <v>27.36</v>
      </c>
      <c r="BE111" s="47">
        <f t="shared" si="64"/>
        <v>15.192</v>
      </c>
      <c r="BF111" s="47">
        <v>12660</v>
      </c>
      <c r="BG111" s="56">
        <v>109</v>
      </c>
      <c r="BH111" s="47"/>
      <c r="BI111" s="51">
        <f t="shared" si="43"/>
        <v>0</v>
      </c>
      <c r="BJ111" s="51">
        <f t="shared" si="44"/>
        <v>0</v>
      </c>
      <c r="BK111" s="47"/>
      <c r="BL111" s="47"/>
      <c r="BM111" s="47"/>
      <c r="BN111" s="47"/>
      <c r="BO111" s="47"/>
      <c r="BP111" s="47"/>
      <c r="BQ111" s="47"/>
      <c r="BR111" s="47"/>
      <c r="BS111" s="53"/>
      <c r="BT111" s="47"/>
      <c r="BU111" s="47"/>
      <c r="BV111" s="47"/>
      <c r="BW111" s="47"/>
      <c r="BX111" s="47"/>
      <c r="BY111" s="47"/>
      <c r="BZ111" s="47"/>
      <c r="CA111" s="47"/>
      <c r="CB111" s="54">
        <f t="shared" si="67"/>
        <v>447.8229</v>
      </c>
      <c r="CC111" s="47">
        <v>6687.44</v>
      </c>
      <c r="CD111" s="57"/>
      <c r="CE111" s="47"/>
      <c r="CF111" s="47">
        <f t="shared" si="46"/>
        <v>7135.2628999999997</v>
      </c>
    </row>
    <row r="112" spans="1:84" ht="14.25" customHeight="1">
      <c r="A112" s="47">
        <v>105</v>
      </c>
      <c r="B112" s="47" t="s">
        <v>129</v>
      </c>
      <c r="C112" s="48">
        <v>502002</v>
      </c>
      <c r="D112" s="49" t="s">
        <v>239</v>
      </c>
      <c r="E112" s="49" t="s">
        <v>141</v>
      </c>
      <c r="F112" s="50">
        <f t="shared" si="47"/>
        <v>23</v>
      </c>
      <c r="G112" s="50">
        <v>5</v>
      </c>
      <c r="H112" s="50">
        <v>18</v>
      </c>
      <c r="I112" s="50"/>
      <c r="J112" s="50"/>
      <c r="K112" s="50"/>
      <c r="L112" s="50"/>
      <c r="M112" s="50"/>
      <c r="N112" s="50">
        <v>3</v>
      </c>
      <c r="O112" s="50">
        <f t="shared" si="48"/>
        <v>26</v>
      </c>
      <c r="P112" s="51">
        <f t="shared" si="35"/>
        <v>344.81309999999996</v>
      </c>
      <c r="Q112" s="51">
        <f t="shared" si="36"/>
        <v>243.63309999999998</v>
      </c>
      <c r="R112" s="47">
        <f t="shared" si="49"/>
        <v>72233</v>
      </c>
      <c r="S112" s="58">
        <v>72233</v>
      </c>
      <c r="T112" s="58"/>
      <c r="U112" s="47">
        <f t="shared" si="50"/>
        <v>86.679599999999994</v>
      </c>
      <c r="V112" s="51">
        <f t="shared" si="2"/>
        <v>51.75</v>
      </c>
      <c r="W112" s="47">
        <f t="shared" si="51"/>
        <v>51.75</v>
      </c>
      <c r="X112" s="47"/>
      <c r="Y112" s="47"/>
      <c r="Z112" s="47"/>
      <c r="AA112" s="47"/>
      <c r="AB112" s="51">
        <f t="shared" si="65"/>
        <v>42.049700000000001</v>
      </c>
      <c r="AC112" s="47">
        <f t="shared" si="53"/>
        <v>7.2233000000000001</v>
      </c>
      <c r="AD112" s="47"/>
      <c r="AE112" s="47"/>
      <c r="AF112" s="47">
        <f t="shared" si="54"/>
        <v>34.8264</v>
      </c>
      <c r="AG112" s="47">
        <v>29022</v>
      </c>
      <c r="AH112" s="47"/>
      <c r="AI112" s="47">
        <f t="shared" si="55"/>
        <v>0</v>
      </c>
      <c r="AJ112" s="53">
        <f t="shared" si="56"/>
        <v>28.8767</v>
      </c>
      <c r="AK112" s="53">
        <f t="shared" si="57"/>
        <v>288767</v>
      </c>
      <c r="AL112" s="47"/>
      <c r="AM112" s="47">
        <f t="shared" si="68"/>
        <v>11.789</v>
      </c>
      <c r="AN112" s="47">
        <f t="shared" si="69"/>
        <v>11.0969</v>
      </c>
      <c r="AO112" s="47">
        <f t="shared" si="58"/>
        <v>110969</v>
      </c>
      <c r="AP112" s="47">
        <f t="shared" si="39"/>
        <v>0.69210000000000005</v>
      </c>
      <c r="AQ112" s="47">
        <f t="shared" si="59"/>
        <v>6921.0000000000009</v>
      </c>
      <c r="AR112" s="47"/>
      <c r="AS112" s="47">
        <f t="shared" si="60"/>
        <v>0.8306</v>
      </c>
      <c r="AT112" s="47">
        <f t="shared" si="70"/>
        <v>0.8306</v>
      </c>
      <c r="AU112" s="47">
        <f t="shared" si="61"/>
        <v>8306</v>
      </c>
      <c r="AV112" s="47">
        <f t="shared" si="71"/>
        <v>0</v>
      </c>
      <c r="AW112" s="47">
        <f t="shared" si="62"/>
        <v>0</v>
      </c>
      <c r="AX112" s="47">
        <f t="shared" si="42"/>
        <v>21.657499999999999</v>
      </c>
      <c r="AY112" s="47"/>
      <c r="AZ112" s="47"/>
      <c r="BA112" s="54">
        <v>1E-4</v>
      </c>
      <c r="BB112" s="55" t="s">
        <v>239</v>
      </c>
      <c r="BC112" s="51">
        <f t="shared" si="63"/>
        <v>101.18</v>
      </c>
      <c r="BD112" s="47">
        <f t="shared" si="66"/>
        <v>27.599999999999998</v>
      </c>
      <c r="BE112" s="47">
        <f t="shared" si="64"/>
        <v>14.58</v>
      </c>
      <c r="BF112" s="47">
        <v>12150</v>
      </c>
      <c r="BG112" s="56">
        <v>27</v>
      </c>
      <c r="BH112" s="47">
        <v>32</v>
      </c>
      <c r="BI112" s="51">
        <f t="shared" si="43"/>
        <v>0</v>
      </c>
      <c r="BJ112" s="51">
        <f t="shared" si="44"/>
        <v>0</v>
      </c>
      <c r="BK112" s="47"/>
      <c r="BL112" s="47"/>
      <c r="BM112" s="47"/>
      <c r="BN112" s="47"/>
      <c r="BO112" s="47"/>
      <c r="BP112" s="47"/>
      <c r="BQ112" s="47"/>
      <c r="BR112" s="47"/>
      <c r="BS112" s="53"/>
      <c r="BT112" s="47"/>
      <c r="BU112" s="47"/>
      <c r="BV112" s="47"/>
      <c r="BW112" s="47"/>
      <c r="BX112" s="47">
        <v>46</v>
      </c>
      <c r="BY112" s="47">
        <v>20</v>
      </c>
      <c r="BZ112" s="47"/>
      <c r="CA112" s="47"/>
      <c r="CB112" s="54">
        <f t="shared" si="67"/>
        <v>410.81309999999996</v>
      </c>
      <c r="CC112" s="47"/>
      <c r="CD112" s="57"/>
      <c r="CE112" s="47"/>
      <c r="CF112" s="47">
        <f t="shared" si="46"/>
        <v>410.81309999999996</v>
      </c>
    </row>
    <row r="113" spans="1:84" ht="14.25" customHeight="1">
      <c r="A113" s="47">
        <v>106</v>
      </c>
      <c r="B113" s="47" t="s">
        <v>129</v>
      </c>
      <c r="C113" s="48">
        <v>502003</v>
      </c>
      <c r="D113" s="49" t="s">
        <v>240</v>
      </c>
      <c r="E113" s="49" t="s">
        <v>150</v>
      </c>
      <c r="F113" s="50">
        <f t="shared" si="47"/>
        <v>21</v>
      </c>
      <c r="G113" s="50"/>
      <c r="H113" s="50"/>
      <c r="I113" s="50">
        <v>6</v>
      </c>
      <c r="J113" s="50">
        <v>15</v>
      </c>
      <c r="K113" s="50"/>
      <c r="L113" s="50">
        <v>3</v>
      </c>
      <c r="M113" s="50"/>
      <c r="N113" s="50">
        <v>19</v>
      </c>
      <c r="O113" s="50">
        <f t="shared" si="48"/>
        <v>43</v>
      </c>
      <c r="P113" s="51">
        <f t="shared" si="35"/>
        <v>309.29430000000002</v>
      </c>
      <c r="Q113" s="51">
        <f t="shared" si="36"/>
        <v>264.30630000000002</v>
      </c>
      <c r="R113" s="47">
        <f t="shared" si="49"/>
        <v>72478</v>
      </c>
      <c r="S113" s="58"/>
      <c r="T113" s="58">
        <v>72478</v>
      </c>
      <c r="U113" s="47">
        <f t="shared" ref="U113:U118" si="72">ROUND(R113*12/10000,5)+L113*2</f>
        <v>92.973600000000005</v>
      </c>
      <c r="V113" s="51">
        <f t="shared" si="2"/>
        <v>20.952000000000002</v>
      </c>
      <c r="W113" s="47">
        <f t="shared" si="51"/>
        <v>0</v>
      </c>
      <c r="X113" s="67">
        <v>20.952000000000002</v>
      </c>
      <c r="Y113" s="47"/>
      <c r="Z113" s="47"/>
      <c r="AA113" s="47"/>
      <c r="AB113" s="51">
        <f t="shared" si="65"/>
        <v>31.643999999999998</v>
      </c>
      <c r="AC113" s="47">
        <f t="shared" si="53"/>
        <v>0</v>
      </c>
      <c r="AD113" s="47">
        <v>4.2839999999999998</v>
      </c>
      <c r="AE113" s="47"/>
      <c r="AF113" s="47">
        <f t="shared" si="54"/>
        <v>27.36</v>
      </c>
      <c r="AG113" s="47">
        <v>22800</v>
      </c>
      <c r="AH113" s="47"/>
      <c r="AI113" s="47">
        <f t="shared" ref="AI113:AI118" si="73">ROUND(2.59*(I113+J113+K113),4)+L113*2.59*0.4</f>
        <v>57.497999999999998</v>
      </c>
      <c r="AJ113" s="53">
        <v>26.995799999999999</v>
      </c>
      <c r="AK113" s="53">
        <v>269958</v>
      </c>
      <c r="AL113" s="47"/>
      <c r="AM113" s="47">
        <v>12.1584</v>
      </c>
      <c r="AN113" s="47">
        <v>11.451599999999999</v>
      </c>
      <c r="AO113" s="47">
        <v>114516</v>
      </c>
      <c r="AP113" s="47">
        <v>0.70679999999999998</v>
      </c>
      <c r="AQ113" s="47">
        <v>7068</v>
      </c>
      <c r="AR113" s="47"/>
      <c r="AS113" s="47">
        <v>1.8376999999999999</v>
      </c>
      <c r="AT113" s="47">
        <v>0.84819999999999995</v>
      </c>
      <c r="AU113" s="47">
        <v>8482</v>
      </c>
      <c r="AV113" s="47">
        <v>0.98950000000000005</v>
      </c>
      <c r="AW113" s="47">
        <v>9895</v>
      </c>
      <c r="AX113" s="47">
        <v>20.2468</v>
      </c>
      <c r="AY113" s="47"/>
      <c r="AZ113" s="47"/>
      <c r="BA113" s="54">
        <v>1E-4</v>
      </c>
      <c r="BB113" s="55" t="s">
        <v>240</v>
      </c>
      <c r="BC113" s="51">
        <f t="shared" si="63"/>
        <v>44.16</v>
      </c>
      <c r="BD113" s="47">
        <f t="shared" si="66"/>
        <v>20.16</v>
      </c>
      <c r="BE113" s="47">
        <f t="shared" si="64"/>
        <v>0</v>
      </c>
      <c r="BF113" s="47"/>
      <c r="BG113" s="56">
        <v>24</v>
      </c>
      <c r="BH113" s="47"/>
      <c r="BI113" s="51">
        <f t="shared" si="43"/>
        <v>0.82799999999999996</v>
      </c>
      <c r="BJ113" s="51">
        <f t="shared" si="44"/>
        <v>0</v>
      </c>
      <c r="BK113" s="47"/>
      <c r="BL113" s="47"/>
      <c r="BM113" s="47"/>
      <c r="BN113" s="47"/>
      <c r="BO113" s="47"/>
      <c r="BP113" s="68">
        <v>0.82799999999999996</v>
      </c>
      <c r="BQ113" s="47"/>
      <c r="BR113" s="47"/>
      <c r="BS113" s="53"/>
      <c r="BT113" s="47"/>
      <c r="BU113" s="47"/>
      <c r="BV113" s="47"/>
      <c r="BW113" s="47"/>
      <c r="BX113" s="47"/>
      <c r="BY113" s="47"/>
      <c r="BZ113" s="47"/>
      <c r="CA113" s="47"/>
      <c r="CB113" s="54">
        <f t="shared" si="67"/>
        <v>309.29430000000002</v>
      </c>
      <c r="CC113" s="47"/>
      <c r="CD113" s="57"/>
      <c r="CE113" s="47"/>
      <c r="CF113" s="47">
        <f t="shared" si="46"/>
        <v>309.29430000000002</v>
      </c>
    </row>
    <row r="114" spans="1:84" ht="14.25" customHeight="1">
      <c r="A114" s="47">
        <v>107</v>
      </c>
      <c r="B114" s="47" t="s">
        <v>129</v>
      </c>
      <c r="C114" s="48">
        <v>502004</v>
      </c>
      <c r="D114" s="71" t="s">
        <v>241</v>
      </c>
      <c r="E114" s="49" t="s">
        <v>150</v>
      </c>
      <c r="F114" s="50">
        <f t="shared" si="47"/>
        <v>20</v>
      </c>
      <c r="G114" s="50"/>
      <c r="H114" s="50"/>
      <c r="I114" s="50">
        <v>9</v>
      </c>
      <c r="J114" s="50">
        <v>11</v>
      </c>
      <c r="K114" s="50"/>
      <c r="L114" s="50">
        <v>13</v>
      </c>
      <c r="M114" s="50"/>
      <c r="N114" s="50">
        <v>29</v>
      </c>
      <c r="O114" s="50">
        <f t="shared" si="48"/>
        <v>62</v>
      </c>
      <c r="P114" s="51">
        <f t="shared" si="35"/>
        <v>317.26069999999999</v>
      </c>
      <c r="Q114" s="51">
        <f t="shared" si="36"/>
        <v>298.0607</v>
      </c>
      <c r="R114" s="47">
        <f t="shared" si="49"/>
        <v>76089</v>
      </c>
      <c r="S114" s="58"/>
      <c r="T114" s="58">
        <v>76089</v>
      </c>
      <c r="U114" s="47">
        <f t="shared" si="72"/>
        <v>117.3068</v>
      </c>
      <c r="V114" s="51">
        <f t="shared" si="2"/>
        <v>20.23</v>
      </c>
      <c r="W114" s="47">
        <f t="shared" si="51"/>
        <v>0</v>
      </c>
      <c r="X114" s="67">
        <v>20.23</v>
      </c>
      <c r="Y114" s="47"/>
      <c r="Z114" s="47"/>
      <c r="AA114" s="47"/>
      <c r="AB114" s="51">
        <f t="shared" si="65"/>
        <v>32.880000000000003</v>
      </c>
      <c r="AC114" s="47">
        <f t="shared" si="53"/>
        <v>0</v>
      </c>
      <c r="AD114" s="47">
        <v>4.08</v>
      </c>
      <c r="AE114" s="47"/>
      <c r="AF114" s="47">
        <f t="shared" si="54"/>
        <v>28.8</v>
      </c>
      <c r="AG114" s="47">
        <v>24000</v>
      </c>
      <c r="AH114" s="47"/>
      <c r="AI114" s="47">
        <f t="shared" si="73"/>
        <v>65.268000000000001</v>
      </c>
      <c r="AJ114" s="53">
        <v>27.505099999999999</v>
      </c>
      <c r="AK114" s="53">
        <v>275051</v>
      </c>
      <c r="AL114" s="47"/>
      <c r="AM114" s="47">
        <v>12.381600000000001</v>
      </c>
      <c r="AN114" s="47">
        <v>11.666</v>
      </c>
      <c r="AO114" s="47">
        <v>116660</v>
      </c>
      <c r="AP114" s="47">
        <v>0.71550000000000002</v>
      </c>
      <c r="AQ114" s="47">
        <v>7155</v>
      </c>
      <c r="AR114" s="47"/>
      <c r="AS114" s="47">
        <v>1.8604000000000001</v>
      </c>
      <c r="AT114" s="47">
        <v>0.85860000000000003</v>
      </c>
      <c r="AU114" s="47">
        <v>8586</v>
      </c>
      <c r="AV114" s="47">
        <v>1.0017</v>
      </c>
      <c r="AW114" s="47">
        <v>10017</v>
      </c>
      <c r="AX114" s="47">
        <v>20.628799999999998</v>
      </c>
      <c r="AY114" s="47"/>
      <c r="AZ114" s="47"/>
      <c r="BA114" s="54">
        <v>1E-4</v>
      </c>
      <c r="BB114" s="71" t="s">
        <v>241</v>
      </c>
      <c r="BC114" s="51">
        <f t="shared" si="63"/>
        <v>19.2</v>
      </c>
      <c r="BD114" s="47">
        <f t="shared" si="66"/>
        <v>19.2</v>
      </c>
      <c r="BE114" s="47">
        <f t="shared" si="64"/>
        <v>0</v>
      </c>
      <c r="BF114" s="47"/>
      <c r="BG114" s="56">
        <v>0</v>
      </c>
      <c r="BH114" s="47"/>
      <c r="BI114" s="51">
        <f t="shared" si="43"/>
        <v>0</v>
      </c>
      <c r="BJ114" s="51">
        <f t="shared" si="44"/>
        <v>0</v>
      </c>
      <c r="BK114" s="47"/>
      <c r="BL114" s="47"/>
      <c r="BM114" s="47"/>
      <c r="BN114" s="47"/>
      <c r="BO114" s="47"/>
      <c r="BP114" s="47"/>
      <c r="BQ114" s="47"/>
      <c r="BR114" s="47"/>
      <c r="BS114" s="53"/>
      <c r="BT114" s="47"/>
      <c r="BU114" s="47"/>
      <c r="BV114" s="47"/>
      <c r="BW114" s="47"/>
      <c r="BX114" s="47"/>
      <c r="BY114" s="47"/>
      <c r="BZ114" s="47"/>
      <c r="CA114" s="47"/>
      <c r="CB114" s="54">
        <f t="shared" si="67"/>
        <v>317.26069999999999</v>
      </c>
      <c r="CC114" s="47"/>
      <c r="CD114" s="57"/>
      <c r="CE114" s="47"/>
      <c r="CF114" s="47">
        <f t="shared" si="46"/>
        <v>317.26069999999999</v>
      </c>
    </row>
    <row r="115" spans="1:84" ht="14.25" customHeight="1">
      <c r="A115" s="47">
        <v>108</v>
      </c>
      <c r="B115" s="47" t="s">
        <v>129</v>
      </c>
      <c r="C115" s="48">
        <v>502005</v>
      </c>
      <c r="D115" s="71" t="s">
        <v>242</v>
      </c>
      <c r="E115" s="49" t="s">
        <v>150</v>
      </c>
      <c r="F115" s="50">
        <f t="shared" si="47"/>
        <v>20</v>
      </c>
      <c r="G115" s="50"/>
      <c r="H115" s="50"/>
      <c r="I115" s="50">
        <v>8</v>
      </c>
      <c r="J115" s="50">
        <v>12</v>
      </c>
      <c r="K115" s="50"/>
      <c r="L115" s="50">
        <v>5</v>
      </c>
      <c r="M115" s="50"/>
      <c r="N115" s="50">
        <v>35</v>
      </c>
      <c r="O115" s="50">
        <f t="shared" si="48"/>
        <v>60</v>
      </c>
      <c r="P115" s="51">
        <f t="shared" si="35"/>
        <v>289.40729999999996</v>
      </c>
      <c r="Q115" s="51">
        <f t="shared" si="36"/>
        <v>269.4513</v>
      </c>
      <c r="R115" s="47">
        <f t="shared" si="49"/>
        <v>71546</v>
      </c>
      <c r="S115" s="58"/>
      <c r="T115" s="58">
        <v>71546</v>
      </c>
      <c r="U115" s="47">
        <f t="shared" si="72"/>
        <v>95.855199999999996</v>
      </c>
      <c r="V115" s="51">
        <f t="shared" si="2"/>
        <v>20.376000000000001</v>
      </c>
      <c r="W115" s="47">
        <f t="shared" si="51"/>
        <v>0</v>
      </c>
      <c r="X115" s="67">
        <v>20.376000000000001</v>
      </c>
      <c r="Y115" s="47"/>
      <c r="Z115" s="47"/>
      <c r="AA115" s="47"/>
      <c r="AB115" s="51">
        <f t="shared" si="65"/>
        <v>32.880000000000003</v>
      </c>
      <c r="AC115" s="47">
        <f t="shared" si="53"/>
        <v>0</v>
      </c>
      <c r="AD115" s="47">
        <v>4.08</v>
      </c>
      <c r="AE115" s="47"/>
      <c r="AF115" s="47">
        <f t="shared" si="54"/>
        <v>28.8</v>
      </c>
      <c r="AG115" s="47">
        <v>24000</v>
      </c>
      <c r="AH115" s="47"/>
      <c r="AI115" s="47">
        <f t="shared" si="73"/>
        <v>56.98</v>
      </c>
      <c r="AJ115" s="53">
        <v>26.6328</v>
      </c>
      <c r="AK115" s="53">
        <v>266328</v>
      </c>
      <c r="AL115" s="47"/>
      <c r="AM115" s="47">
        <v>11.963200000000001</v>
      </c>
      <c r="AN115" s="47">
        <v>11.274900000000001</v>
      </c>
      <c r="AO115" s="47">
        <v>112749</v>
      </c>
      <c r="AP115" s="47">
        <v>0.68830000000000002</v>
      </c>
      <c r="AQ115" s="47">
        <v>6883</v>
      </c>
      <c r="AR115" s="47"/>
      <c r="AS115" s="47">
        <v>1.7895000000000001</v>
      </c>
      <c r="AT115" s="47">
        <v>0.82589999999999997</v>
      </c>
      <c r="AU115" s="47">
        <v>8259</v>
      </c>
      <c r="AV115" s="47">
        <v>0.96360000000000001</v>
      </c>
      <c r="AW115" s="47">
        <v>9636</v>
      </c>
      <c r="AX115" s="47">
        <v>19.974599999999999</v>
      </c>
      <c r="AY115" s="47"/>
      <c r="AZ115" s="47">
        <v>3</v>
      </c>
      <c r="BA115" s="54">
        <v>1E-4</v>
      </c>
      <c r="BB115" s="71" t="s">
        <v>242</v>
      </c>
      <c r="BC115" s="51">
        <f t="shared" si="63"/>
        <v>19.2</v>
      </c>
      <c r="BD115" s="47">
        <f t="shared" si="66"/>
        <v>19.2</v>
      </c>
      <c r="BE115" s="47">
        <f t="shared" si="64"/>
        <v>0</v>
      </c>
      <c r="BF115" s="47"/>
      <c r="BG115" s="56">
        <v>0</v>
      </c>
      <c r="BH115" s="47"/>
      <c r="BI115" s="51">
        <f t="shared" si="43"/>
        <v>0.75600000000000001</v>
      </c>
      <c r="BJ115" s="51">
        <f t="shared" si="44"/>
        <v>0</v>
      </c>
      <c r="BK115" s="47"/>
      <c r="BL115" s="47"/>
      <c r="BM115" s="47"/>
      <c r="BN115" s="47"/>
      <c r="BO115" s="47"/>
      <c r="BP115" s="68">
        <v>0.75600000000000001</v>
      </c>
      <c r="BQ115" s="47"/>
      <c r="BR115" s="47"/>
      <c r="BS115" s="53"/>
      <c r="BT115" s="47"/>
      <c r="BU115" s="47"/>
      <c r="BV115" s="47"/>
      <c r="BW115" s="47"/>
      <c r="BX115" s="47"/>
      <c r="BY115" s="47"/>
      <c r="BZ115" s="47"/>
      <c r="CA115" s="47"/>
      <c r="CB115" s="54">
        <f t="shared" si="67"/>
        <v>289.40729999999996</v>
      </c>
      <c r="CC115" s="47"/>
      <c r="CD115" s="57"/>
      <c r="CE115" s="47"/>
      <c r="CF115" s="47">
        <f t="shared" si="46"/>
        <v>289.40729999999996</v>
      </c>
    </row>
    <row r="116" spans="1:84" ht="14.25" customHeight="1">
      <c r="A116" s="47">
        <v>109</v>
      </c>
      <c r="B116" s="47" t="s">
        <v>129</v>
      </c>
      <c r="C116" s="48">
        <v>502006</v>
      </c>
      <c r="D116" s="71" t="s">
        <v>243</v>
      </c>
      <c r="E116" s="49" t="s">
        <v>150</v>
      </c>
      <c r="F116" s="50">
        <f t="shared" si="47"/>
        <v>15</v>
      </c>
      <c r="G116" s="50"/>
      <c r="H116" s="50"/>
      <c r="I116" s="50">
        <v>15</v>
      </c>
      <c r="J116" s="50"/>
      <c r="K116" s="50"/>
      <c r="L116" s="50">
        <v>2</v>
      </c>
      <c r="M116" s="50"/>
      <c r="N116" s="50">
        <v>11</v>
      </c>
      <c r="O116" s="50">
        <f t="shared" si="48"/>
        <v>28</v>
      </c>
      <c r="P116" s="51">
        <f t="shared" si="35"/>
        <v>206.32929999999999</v>
      </c>
      <c r="Q116" s="51">
        <f t="shared" si="36"/>
        <v>191.92929999999998</v>
      </c>
      <c r="R116" s="47">
        <f t="shared" si="49"/>
        <v>52126</v>
      </c>
      <c r="S116" s="58"/>
      <c r="T116" s="58">
        <v>52126</v>
      </c>
      <c r="U116" s="47">
        <f t="shared" si="72"/>
        <v>66.551199999999994</v>
      </c>
      <c r="V116" s="51">
        <f t="shared" si="2"/>
        <v>15.336</v>
      </c>
      <c r="W116" s="47">
        <f t="shared" si="51"/>
        <v>0</v>
      </c>
      <c r="X116" s="67">
        <v>15.336</v>
      </c>
      <c r="Y116" s="47"/>
      <c r="Z116" s="47"/>
      <c r="AA116" s="47"/>
      <c r="AB116" s="51">
        <f t="shared" si="65"/>
        <v>24.66</v>
      </c>
      <c r="AC116" s="47">
        <f t="shared" si="53"/>
        <v>0</v>
      </c>
      <c r="AD116" s="47">
        <v>3.06</v>
      </c>
      <c r="AE116" s="47"/>
      <c r="AF116" s="47">
        <f t="shared" si="54"/>
        <v>21.6</v>
      </c>
      <c r="AG116" s="47">
        <v>18000</v>
      </c>
      <c r="AH116" s="47"/>
      <c r="AI116" s="47">
        <f t="shared" si="73"/>
        <v>40.922000000000004</v>
      </c>
      <c r="AJ116" s="53">
        <v>19.680199999999999</v>
      </c>
      <c r="AK116" s="53">
        <v>196802</v>
      </c>
      <c r="AL116" s="47"/>
      <c r="AM116" s="47">
        <v>8.7015999999999991</v>
      </c>
      <c r="AN116" s="47">
        <v>8.1945999999999994</v>
      </c>
      <c r="AO116" s="47">
        <v>81946</v>
      </c>
      <c r="AP116" s="47">
        <v>0.50700000000000001</v>
      </c>
      <c r="AQ116" s="47">
        <v>5070</v>
      </c>
      <c r="AR116" s="47"/>
      <c r="AS116" s="47">
        <v>1.3182</v>
      </c>
      <c r="AT116" s="47">
        <v>0.60840000000000005</v>
      </c>
      <c r="AU116" s="47">
        <v>6084</v>
      </c>
      <c r="AV116" s="47">
        <v>0.70979999999999999</v>
      </c>
      <c r="AW116" s="47">
        <v>7098</v>
      </c>
      <c r="AX116" s="47">
        <v>14.7601</v>
      </c>
      <c r="AY116" s="47"/>
      <c r="AZ116" s="47"/>
      <c r="BA116" s="54">
        <v>1E-4</v>
      </c>
      <c r="BB116" s="71" t="s">
        <v>243</v>
      </c>
      <c r="BC116" s="51">
        <f t="shared" si="63"/>
        <v>14.399999999999999</v>
      </c>
      <c r="BD116" s="47">
        <f t="shared" si="66"/>
        <v>14.399999999999999</v>
      </c>
      <c r="BE116" s="47">
        <f t="shared" si="64"/>
        <v>0</v>
      </c>
      <c r="BF116" s="47"/>
      <c r="BG116" s="56">
        <v>0</v>
      </c>
      <c r="BH116" s="47"/>
      <c r="BI116" s="51">
        <f t="shared" si="43"/>
        <v>0</v>
      </c>
      <c r="BJ116" s="51">
        <f t="shared" si="44"/>
        <v>0</v>
      </c>
      <c r="BK116" s="47"/>
      <c r="BL116" s="47"/>
      <c r="BM116" s="47"/>
      <c r="BN116" s="47"/>
      <c r="BO116" s="47"/>
      <c r="BP116" s="47"/>
      <c r="BQ116" s="47"/>
      <c r="BR116" s="47"/>
      <c r="BS116" s="53"/>
      <c r="BT116" s="47"/>
      <c r="BU116" s="47"/>
      <c r="BV116" s="47"/>
      <c r="BW116" s="47"/>
      <c r="BX116" s="47"/>
      <c r="BY116" s="47"/>
      <c r="BZ116" s="47"/>
      <c r="CA116" s="47"/>
      <c r="CB116" s="54">
        <f t="shared" si="67"/>
        <v>206.32929999999999</v>
      </c>
      <c r="CC116" s="47"/>
      <c r="CD116" s="57"/>
      <c r="CE116" s="47"/>
      <c r="CF116" s="47">
        <f t="shared" si="46"/>
        <v>206.32929999999999</v>
      </c>
    </row>
    <row r="117" spans="1:84" ht="14.25" customHeight="1">
      <c r="A117" s="47">
        <v>110</v>
      </c>
      <c r="B117" s="47" t="s">
        <v>129</v>
      </c>
      <c r="C117" s="48">
        <v>502007</v>
      </c>
      <c r="D117" s="71" t="s">
        <v>244</v>
      </c>
      <c r="E117" s="49" t="s">
        <v>150</v>
      </c>
      <c r="F117" s="50">
        <f t="shared" si="47"/>
        <v>8</v>
      </c>
      <c r="G117" s="50"/>
      <c r="H117" s="50"/>
      <c r="I117" s="50">
        <v>4</v>
      </c>
      <c r="J117" s="50">
        <v>4</v>
      </c>
      <c r="K117" s="50"/>
      <c r="L117" s="50">
        <v>11</v>
      </c>
      <c r="M117" s="50"/>
      <c r="N117" s="50">
        <v>27</v>
      </c>
      <c r="O117" s="50">
        <f t="shared" si="48"/>
        <v>46</v>
      </c>
      <c r="P117" s="51">
        <f t="shared" si="35"/>
        <v>174.4042</v>
      </c>
      <c r="Q117" s="51">
        <f t="shared" si="36"/>
        <v>161.2122</v>
      </c>
      <c r="R117" s="47">
        <f t="shared" si="49"/>
        <v>30699</v>
      </c>
      <c r="S117" s="58"/>
      <c r="T117" s="58">
        <v>30699</v>
      </c>
      <c r="U117" s="47">
        <f t="shared" si="72"/>
        <v>58.838799999999999</v>
      </c>
      <c r="V117" s="51">
        <f t="shared" si="2"/>
        <v>7.92</v>
      </c>
      <c r="W117" s="47">
        <f t="shared" si="51"/>
        <v>0</v>
      </c>
      <c r="X117" s="67">
        <v>7.92</v>
      </c>
      <c r="Y117" s="47"/>
      <c r="Z117" s="47"/>
      <c r="AA117" s="47"/>
      <c r="AB117" s="51">
        <f t="shared" si="65"/>
        <v>13.151999999999999</v>
      </c>
      <c r="AC117" s="47">
        <f t="shared" si="53"/>
        <v>0</v>
      </c>
      <c r="AD117" s="47">
        <v>1.6319999999999999</v>
      </c>
      <c r="AE117" s="47"/>
      <c r="AF117" s="47">
        <f t="shared" si="54"/>
        <v>11.52</v>
      </c>
      <c r="AG117" s="47">
        <v>9600</v>
      </c>
      <c r="AH117" s="47"/>
      <c r="AI117" s="47">
        <f t="shared" si="73"/>
        <v>32.116</v>
      </c>
      <c r="AJ117" s="53">
        <v>11.0526</v>
      </c>
      <c r="AK117" s="53">
        <v>110526</v>
      </c>
      <c r="AL117" s="47"/>
      <c r="AM117" s="47">
        <v>5.0949999999999998</v>
      </c>
      <c r="AN117" s="47">
        <v>4.8071999999999999</v>
      </c>
      <c r="AO117" s="47">
        <v>48072</v>
      </c>
      <c r="AP117" s="47">
        <v>0.2878</v>
      </c>
      <c r="AQ117" s="47">
        <v>2878</v>
      </c>
      <c r="AR117" s="47"/>
      <c r="AS117" s="47">
        <v>0.74829999999999997</v>
      </c>
      <c r="AT117" s="47">
        <v>0.34539999999999998</v>
      </c>
      <c r="AU117" s="47">
        <v>3454</v>
      </c>
      <c r="AV117" s="47">
        <v>0.40289999999999998</v>
      </c>
      <c r="AW117" s="47">
        <v>4029</v>
      </c>
      <c r="AX117" s="47">
        <v>8.2895000000000003</v>
      </c>
      <c r="AY117" s="47"/>
      <c r="AZ117" s="47">
        <v>24</v>
      </c>
      <c r="BA117" s="54">
        <v>1E-4</v>
      </c>
      <c r="BB117" s="71" t="s">
        <v>244</v>
      </c>
      <c r="BC117" s="51">
        <f t="shared" si="63"/>
        <v>11.68</v>
      </c>
      <c r="BD117" s="47">
        <f t="shared" si="66"/>
        <v>7.68</v>
      </c>
      <c r="BE117" s="47">
        <f t="shared" si="64"/>
        <v>0</v>
      </c>
      <c r="BF117" s="47"/>
      <c r="BG117" s="56">
        <v>4</v>
      </c>
      <c r="BH117" s="47"/>
      <c r="BI117" s="51">
        <f t="shared" si="43"/>
        <v>1.512</v>
      </c>
      <c r="BJ117" s="51">
        <f t="shared" si="44"/>
        <v>0</v>
      </c>
      <c r="BK117" s="47"/>
      <c r="BL117" s="47"/>
      <c r="BM117" s="47"/>
      <c r="BN117" s="47"/>
      <c r="BO117" s="47"/>
      <c r="BP117" s="68">
        <v>1.512</v>
      </c>
      <c r="BQ117" s="47"/>
      <c r="BR117" s="47"/>
      <c r="BS117" s="53"/>
      <c r="BT117" s="47"/>
      <c r="BU117" s="47"/>
      <c r="BV117" s="47"/>
      <c r="BW117" s="47"/>
      <c r="BX117" s="47"/>
      <c r="BY117" s="47"/>
      <c r="BZ117" s="47"/>
      <c r="CA117" s="47"/>
      <c r="CB117" s="54">
        <f t="shared" si="67"/>
        <v>174.4042</v>
      </c>
      <c r="CC117" s="47"/>
      <c r="CD117" s="57"/>
      <c r="CE117" s="47"/>
      <c r="CF117" s="47">
        <f t="shared" si="46"/>
        <v>174.4042</v>
      </c>
    </row>
    <row r="118" spans="1:84" ht="14.25" customHeight="1">
      <c r="A118" s="47">
        <v>111</v>
      </c>
      <c r="B118" s="47" t="s">
        <v>129</v>
      </c>
      <c r="C118" s="48">
        <v>502008</v>
      </c>
      <c r="D118" s="49" t="s">
        <v>245</v>
      </c>
      <c r="E118" s="49" t="s">
        <v>150</v>
      </c>
      <c r="F118" s="50">
        <f t="shared" si="47"/>
        <v>5</v>
      </c>
      <c r="G118" s="50"/>
      <c r="H118" s="50"/>
      <c r="I118" s="50">
        <v>4</v>
      </c>
      <c r="J118" s="50">
        <v>1</v>
      </c>
      <c r="K118" s="50"/>
      <c r="L118" s="50">
        <v>1</v>
      </c>
      <c r="M118" s="50"/>
      <c r="N118" s="50">
        <v>5</v>
      </c>
      <c r="O118" s="50">
        <f t="shared" si="48"/>
        <v>11</v>
      </c>
      <c r="P118" s="51">
        <f t="shared" si="35"/>
        <v>88.678299999999993</v>
      </c>
      <c r="Q118" s="51">
        <f t="shared" si="36"/>
        <v>60.878299999999996</v>
      </c>
      <c r="R118" s="47">
        <f t="shared" si="49"/>
        <v>18592</v>
      </c>
      <c r="S118" s="58"/>
      <c r="T118" s="58">
        <v>18592</v>
      </c>
      <c r="U118" s="47">
        <f t="shared" si="72"/>
        <v>24.310400000000001</v>
      </c>
      <c r="V118" s="51">
        <f t="shared" si="2"/>
        <v>0</v>
      </c>
      <c r="W118" s="47">
        <f t="shared" si="51"/>
        <v>0</v>
      </c>
      <c r="X118" s="47"/>
      <c r="Y118" s="47"/>
      <c r="Z118" s="47"/>
      <c r="AA118" s="47"/>
      <c r="AB118" s="51">
        <f t="shared" si="65"/>
        <v>7.2</v>
      </c>
      <c r="AC118" s="47">
        <f t="shared" si="53"/>
        <v>0</v>
      </c>
      <c r="AD118" s="47"/>
      <c r="AE118" s="47"/>
      <c r="AF118" s="47">
        <f t="shared" si="54"/>
        <v>7.2</v>
      </c>
      <c r="AG118" s="47">
        <v>6000</v>
      </c>
      <c r="AH118" s="47"/>
      <c r="AI118" s="47">
        <f t="shared" si="73"/>
        <v>13.985999999999999</v>
      </c>
      <c r="AJ118" s="53">
        <v>6.7937000000000003</v>
      </c>
      <c r="AK118" s="53">
        <v>67937</v>
      </c>
      <c r="AL118" s="47"/>
      <c r="AM118" s="47">
        <v>3.0346000000000002</v>
      </c>
      <c r="AN118" s="47">
        <v>2.8582999999999998</v>
      </c>
      <c r="AO118" s="47">
        <v>28583</v>
      </c>
      <c r="AP118" s="47">
        <v>0.17630000000000001</v>
      </c>
      <c r="AQ118" s="47">
        <v>1763</v>
      </c>
      <c r="AR118" s="47"/>
      <c r="AS118" s="47">
        <v>0.45839999999999997</v>
      </c>
      <c r="AT118" s="47">
        <v>0.21160000000000001</v>
      </c>
      <c r="AU118" s="47">
        <v>2116</v>
      </c>
      <c r="AV118" s="47">
        <v>0.24679999999999999</v>
      </c>
      <c r="AW118" s="47">
        <v>2468</v>
      </c>
      <c r="AX118" s="47">
        <v>5.0952000000000002</v>
      </c>
      <c r="AY118" s="47"/>
      <c r="AZ118" s="47"/>
      <c r="BA118" s="54">
        <v>1E-4</v>
      </c>
      <c r="BB118" s="55" t="s">
        <v>245</v>
      </c>
      <c r="BC118" s="51">
        <f t="shared" si="63"/>
        <v>27.8</v>
      </c>
      <c r="BD118" s="47">
        <f t="shared" si="66"/>
        <v>4.8</v>
      </c>
      <c r="BE118" s="47">
        <f t="shared" si="64"/>
        <v>0</v>
      </c>
      <c r="BF118" s="47"/>
      <c r="BG118" s="56">
        <v>23</v>
      </c>
      <c r="BH118" s="47"/>
      <c r="BI118" s="51">
        <f t="shared" si="43"/>
        <v>0</v>
      </c>
      <c r="BJ118" s="51">
        <f t="shared" si="44"/>
        <v>0</v>
      </c>
      <c r="BK118" s="47"/>
      <c r="BL118" s="47"/>
      <c r="BM118" s="47"/>
      <c r="BN118" s="47"/>
      <c r="BO118" s="47"/>
      <c r="BP118" s="47"/>
      <c r="BQ118" s="47"/>
      <c r="BR118" s="47"/>
      <c r="BS118" s="53"/>
      <c r="BT118" s="47"/>
      <c r="BU118" s="47"/>
      <c r="BV118" s="47"/>
      <c r="BW118" s="47"/>
      <c r="BX118" s="47">
        <v>35</v>
      </c>
      <c r="BY118" s="47"/>
      <c r="BZ118" s="47"/>
      <c r="CA118" s="47"/>
      <c r="CB118" s="54">
        <f t="shared" si="67"/>
        <v>123.67829999999999</v>
      </c>
      <c r="CC118" s="47"/>
      <c r="CD118" s="57"/>
      <c r="CE118" s="47"/>
      <c r="CF118" s="47">
        <f t="shared" si="46"/>
        <v>123.67829999999999</v>
      </c>
    </row>
    <row r="119" spans="1:84" ht="14.25" customHeight="1">
      <c r="A119" s="47">
        <v>112</v>
      </c>
      <c r="B119" s="47" t="s">
        <v>129</v>
      </c>
      <c r="C119" s="48">
        <v>602001</v>
      </c>
      <c r="D119" s="49" t="s">
        <v>246</v>
      </c>
      <c r="E119" s="49" t="s">
        <v>131</v>
      </c>
      <c r="F119" s="50">
        <f t="shared" si="47"/>
        <v>28</v>
      </c>
      <c r="G119" s="50">
        <v>13</v>
      </c>
      <c r="H119" s="50">
        <v>4</v>
      </c>
      <c r="I119" s="50">
        <v>11</v>
      </c>
      <c r="J119" s="50"/>
      <c r="K119" s="50"/>
      <c r="L119" s="50"/>
      <c r="M119" s="50"/>
      <c r="N119" s="50">
        <v>23</v>
      </c>
      <c r="O119" s="50">
        <f t="shared" si="48"/>
        <v>51</v>
      </c>
      <c r="P119" s="51">
        <f t="shared" si="35"/>
        <v>424.37420000000003</v>
      </c>
      <c r="Q119" s="51">
        <f t="shared" si="36"/>
        <v>303.6542</v>
      </c>
      <c r="R119" s="47">
        <f t="shared" si="49"/>
        <v>89686</v>
      </c>
      <c r="S119" s="58">
        <v>56394</v>
      </c>
      <c r="T119" s="51">
        <v>33292</v>
      </c>
      <c r="U119" s="47">
        <f t="shared" si="50"/>
        <v>107.6232</v>
      </c>
      <c r="V119" s="51">
        <f t="shared" si="2"/>
        <v>38.25</v>
      </c>
      <c r="W119" s="47">
        <f t="shared" si="51"/>
        <v>38.25</v>
      </c>
      <c r="X119" s="47"/>
      <c r="Y119" s="47"/>
      <c r="Z119" s="47"/>
      <c r="AA119" s="47"/>
      <c r="AB119" s="51">
        <f t="shared" si="65"/>
        <v>49.961400000000005</v>
      </c>
      <c r="AC119" s="47">
        <f t="shared" si="53"/>
        <v>5.6394000000000002</v>
      </c>
      <c r="AD119" s="47"/>
      <c r="AE119" s="47"/>
      <c r="AF119" s="47">
        <f t="shared" si="54"/>
        <v>44.322000000000003</v>
      </c>
      <c r="AG119" s="47">
        <v>36935</v>
      </c>
      <c r="AH119" s="47"/>
      <c r="AI119" s="47">
        <f t="shared" si="55"/>
        <v>28.49</v>
      </c>
      <c r="AJ119" s="53">
        <f t="shared" si="56"/>
        <v>35.8919</v>
      </c>
      <c r="AK119" s="53">
        <f t="shared" si="57"/>
        <v>358919</v>
      </c>
      <c r="AL119" s="47"/>
      <c r="AM119" s="47">
        <f t="shared" si="68"/>
        <v>14.993399999999999</v>
      </c>
      <c r="AN119" s="47">
        <f t="shared" si="69"/>
        <v>14.121600000000001</v>
      </c>
      <c r="AO119" s="47">
        <f t="shared" si="58"/>
        <v>141216</v>
      </c>
      <c r="AP119" s="47">
        <f t="shared" si="39"/>
        <v>0.87180000000000002</v>
      </c>
      <c r="AQ119" s="47">
        <f t="shared" si="59"/>
        <v>8718</v>
      </c>
      <c r="AR119" s="47"/>
      <c r="AS119" s="47">
        <f t="shared" si="60"/>
        <v>1.5253000000000001</v>
      </c>
      <c r="AT119" s="47">
        <f t="shared" si="70"/>
        <v>1.0462</v>
      </c>
      <c r="AU119" s="47">
        <f t="shared" si="61"/>
        <v>10462</v>
      </c>
      <c r="AV119" s="47">
        <f t="shared" si="71"/>
        <v>0.47910000000000003</v>
      </c>
      <c r="AW119" s="47">
        <f t="shared" si="62"/>
        <v>4791</v>
      </c>
      <c r="AX119" s="47">
        <f t="shared" ref="AX119:AX123" si="74">ROUND((U119+W119+AC119+AE119+AF119+AI119)*0.12,4)</f>
        <v>26.919</v>
      </c>
      <c r="AY119" s="47"/>
      <c r="AZ119" s="47"/>
      <c r="BA119" s="54">
        <v>1E-4</v>
      </c>
      <c r="BB119" s="55" t="s">
        <v>246</v>
      </c>
      <c r="BC119" s="51">
        <f t="shared" si="63"/>
        <v>114.78</v>
      </c>
      <c r="BD119" s="47">
        <f t="shared" si="66"/>
        <v>30.959999999999997</v>
      </c>
      <c r="BE119" s="47">
        <f t="shared" si="64"/>
        <v>11.82</v>
      </c>
      <c r="BF119" s="47">
        <v>9850</v>
      </c>
      <c r="BG119" s="56">
        <v>72</v>
      </c>
      <c r="BH119" s="47"/>
      <c r="BI119" s="51">
        <f t="shared" si="43"/>
        <v>5.94</v>
      </c>
      <c r="BJ119" s="51">
        <f t="shared" si="44"/>
        <v>0</v>
      </c>
      <c r="BK119" s="47"/>
      <c r="BL119" s="47"/>
      <c r="BM119" s="47"/>
      <c r="BN119" s="47"/>
      <c r="BO119" s="47"/>
      <c r="BP119" s="68">
        <v>5.94</v>
      </c>
      <c r="BQ119" s="47"/>
      <c r="BR119" s="47"/>
      <c r="BS119" s="53"/>
      <c r="BT119" s="47"/>
      <c r="BU119" s="47"/>
      <c r="BV119" s="47"/>
      <c r="BW119" s="47"/>
      <c r="BX119" s="47">
        <v>280</v>
      </c>
      <c r="BY119" s="47"/>
      <c r="BZ119" s="47"/>
      <c r="CA119" s="47"/>
      <c r="CB119" s="54">
        <f t="shared" si="67"/>
        <v>704.37419999999997</v>
      </c>
      <c r="CC119" s="47"/>
      <c r="CD119" s="57"/>
      <c r="CE119" s="47"/>
      <c r="CF119" s="47">
        <f t="shared" si="46"/>
        <v>704.37419999999997</v>
      </c>
    </row>
    <row r="120" spans="1:84" ht="14.25" customHeight="1">
      <c r="A120" s="47">
        <v>113</v>
      </c>
      <c r="B120" s="47" t="s">
        <v>129</v>
      </c>
      <c r="C120" s="48">
        <v>603001</v>
      </c>
      <c r="D120" s="49" t="s">
        <v>247</v>
      </c>
      <c r="E120" s="49" t="s">
        <v>131</v>
      </c>
      <c r="F120" s="50">
        <f t="shared" si="47"/>
        <v>38</v>
      </c>
      <c r="G120" s="50">
        <v>16</v>
      </c>
      <c r="H120" s="50">
        <v>4</v>
      </c>
      <c r="I120" s="50">
        <v>13</v>
      </c>
      <c r="J120" s="50">
        <v>5</v>
      </c>
      <c r="K120" s="50"/>
      <c r="L120" s="50"/>
      <c r="M120" s="50"/>
      <c r="N120" s="50">
        <v>16</v>
      </c>
      <c r="O120" s="50">
        <f t="shared" si="48"/>
        <v>54</v>
      </c>
      <c r="P120" s="51">
        <f t="shared" si="35"/>
        <v>783.78570000000002</v>
      </c>
      <c r="Q120" s="51">
        <f t="shared" si="36"/>
        <v>609.84569999999997</v>
      </c>
      <c r="R120" s="47">
        <f t="shared" si="49"/>
        <v>123159</v>
      </c>
      <c r="S120" s="58">
        <v>71842</v>
      </c>
      <c r="T120" s="51">
        <v>51317</v>
      </c>
      <c r="U120" s="47">
        <f t="shared" si="50"/>
        <v>147.79079999999999</v>
      </c>
      <c r="V120" s="51">
        <f t="shared" si="2"/>
        <v>59</v>
      </c>
      <c r="W120" s="47">
        <f t="shared" si="51"/>
        <v>45</v>
      </c>
      <c r="X120" s="47"/>
      <c r="Y120" s="47"/>
      <c r="Z120" s="47"/>
      <c r="AA120" s="47">
        <v>14</v>
      </c>
      <c r="AB120" s="51">
        <f t="shared" si="65"/>
        <v>67.762600000000006</v>
      </c>
      <c r="AC120" s="47">
        <f t="shared" si="53"/>
        <v>7.1841999999999997</v>
      </c>
      <c r="AD120" s="47"/>
      <c r="AE120" s="47"/>
      <c r="AF120" s="47">
        <f t="shared" si="54"/>
        <v>60.578400000000002</v>
      </c>
      <c r="AG120" s="47">
        <v>50482</v>
      </c>
      <c r="AH120" s="47"/>
      <c r="AI120" s="47">
        <f t="shared" si="55"/>
        <v>46.62</v>
      </c>
      <c r="AJ120" s="53">
        <f t="shared" si="56"/>
        <v>49.1477</v>
      </c>
      <c r="AK120" s="53">
        <f t="shared" si="57"/>
        <v>491477</v>
      </c>
      <c r="AL120" s="47"/>
      <c r="AM120" s="47">
        <f t="shared" si="68"/>
        <v>20.469899999999999</v>
      </c>
      <c r="AN120" s="47">
        <f t="shared" si="69"/>
        <v>19.2729</v>
      </c>
      <c r="AO120" s="47">
        <f t="shared" si="58"/>
        <v>192729</v>
      </c>
      <c r="AP120" s="47">
        <f t="shared" si="39"/>
        <v>1.1971000000000001</v>
      </c>
      <c r="AQ120" s="47">
        <f t="shared" si="59"/>
        <v>11971</v>
      </c>
      <c r="AR120" s="47"/>
      <c r="AS120" s="47">
        <f t="shared" si="60"/>
        <v>2.1939000000000002</v>
      </c>
      <c r="AT120" s="47">
        <f t="shared" si="70"/>
        <v>1.4365000000000001</v>
      </c>
      <c r="AU120" s="47">
        <f t="shared" si="61"/>
        <v>14365.000000000002</v>
      </c>
      <c r="AV120" s="47">
        <f t="shared" si="71"/>
        <v>0.75739999999999996</v>
      </c>
      <c r="AW120" s="47">
        <f t="shared" si="62"/>
        <v>7574</v>
      </c>
      <c r="AX120" s="47">
        <f t="shared" si="74"/>
        <v>36.860799999999998</v>
      </c>
      <c r="AY120" s="47"/>
      <c r="AZ120" s="67">
        <v>180</v>
      </c>
      <c r="BA120" s="54">
        <v>1E-4</v>
      </c>
      <c r="BB120" s="55" t="s">
        <v>247</v>
      </c>
      <c r="BC120" s="51">
        <f t="shared" si="63"/>
        <v>157.316</v>
      </c>
      <c r="BD120" s="47">
        <f t="shared" si="66"/>
        <v>41.28</v>
      </c>
      <c r="BE120" s="47">
        <f t="shared" si="64"/>
        <v>15.036</v>
      </c>
      <c r="BF120" s="47">
        <v>12530</v>
      </c>
      <c r="BG120" s="56">
        <v>71</v>
      </c>
      <c r="BH120" s="47">
        <v>30</v>
      </c>
      <c r="BI120" s="51">
        <f t="shared" si="43"/>
        <v>16.623999999999999</v>
      </c>
      <c r="BJ120" s="51">
        <f t="shared" si="44"/>
        <v>0</v>
      </c>
      <c r="BK120" s="47"/>
      <c r="BL120" s="47"/>
      <c r="BM120" s="47"/>
      <c r="BN120" s="47"/>
      <c r="BO120" s="47"/>
      <c r="BP120" s="68">
        <v>6.6239999999999997</v>
      </c>
      <c r="BQ120" s="47"/>
      <c r="BR120" s="47"/>
      <c r="BS120" s="53"/>
      <c r="BT120" s="47"/>
      <c r="BU120" s="47"/>
      <c r="BV120" s="47"/>
      <c r="BW120" s="68">
        <v>10</v>
      </c>
      <c r="BX120" s="47">
        <f>70.06+234</f>
        <v>304.06</v>
      </c>
      <c r="BY120" s="47"/>
      <c r="BZ120" s="47"/>
      <c r="CA120" s="47"/>
      <c r="CB120" s="54">
        <f t="shared" si="67"/>
        <v>1087.8457000000001</v>
      </c>
      <c r="CC120" s="47"/>
      <c r="CD120" s="57"/>
      <c r="CE120" s="47"/>
      <c r="CF120" s="47">
        <f t="shared" si="46"/>
        <v>1087.8457000000001</v>
      </c>
    </row>
    <row r="121" spans="1:84" ht="14.25" customHeight="1">
      <c r="A121" s="47">
        <v>114</v>
      </c>
      <c r="B121" s="47" t="s">
        <v>129</v>
      </c>
      <c r="C121" s="48">
        <v>601001</v>
      </c>
      <c r="D121" s="49" t="s">
        <v>248</v>
      </c>
      <c r="E121" s="49" t="s">
        <v>131</v>
      </c>
      <c r="F121" s="50">
        <f t="shared" si="47"/>
        <v>36</v>
      </c>
      <c r="G121" s="50">
        <v>22</v>
      </c>
      <c r="H121" s="50">
        <v>5</v>
      </c>
      <c r="I121" s="50">
        <v>9</v>
      </c>
      <c r="J121" s="50"/>
      <c r="K121" s="50"/>
      <c r="L121" s="50"/>
      <c r="M121" s="50">
        <v>1</v>
      </c>
      <c r="N121" s="50">
        <v>57</v>
      </c>
      <c r="O121" s="50">
        <f t="shared" si="48"/>
        <v>94</v>
      </c>
      <c r="P121" s="51">
        <f t="shared" si="35"/>
        <v>617.03009999999995</v>
      </c>
      <c r="Q121" s="51">
        <f t="shared" si="36"/>
        <v>434.5761</v>
      </c>
      <c r="R121" s="47">
        <f t="shared" si="49"/>
        <v>137604</v>
      </c>
      <c r="S121" s="58">
        <v>112480</v>
      </c>
      <c r="T121" s="51">
        <v>25124</v>
      </c>
      <c r="U121" s="47">
        <f t="shared" si="50"/>
        <v>165.12479999999999</v>
      </c>
      <c r="V121" s="51">
        <f t="shared" si="2"/>
        <v>60.75</v>
      </c>
      <c r="W121" s="47">
        <f t="shared" si="51"/>
        <v>60.75</v>
      </c>
      <c r="X121" s="47"/>
      <c r="Y121" s="47"/>
      <c r="Z121" s="47"/>
      <c r="AA121" s="47"/>
      <c r="AB121" s="51">
        <f t="shared" si="65"/>
        <v>71.986000000000004</v>
      </c>
      <c r="AC121" s="47">
        <f t="shared" si="53"/>
        <v>11.247999999999999</v>
      </c>
      <c r="AD121" s="47"/>
      <c r="AE121" s="47"/>
      <c r="AF121" s="47">
        <f t="shared" si="54"/>
        <v>60.738</v>
      </c>
      <c r="AG121" s="47">
        <f>1200+44615+4800</f>
        <v>50615</v>
      </c>
      <c r="AH121" s="47"/>
      <c r="AI121" s="47">
        <f t="shared" si="55"/>
        <v>23.31</v>
      </c>
      <c r="AJ121" s="53">
        <f t="shared" si="56"/>
        <v>51.387300000000003</v>
      </c>
      <c r="AK121" s="53">
        <f t="shared" si="57"/>
        <v>513873.00000000006</v>
      </c>
      <c r="AL121" s="47"/>
      <c r="AM121" s="47">
        <f t="shared" si="68"/>
        <v>21.6082</v>
      </c>
      <c r="AN121" s="47">
        <f t="shared" si="69"/>
        <v>20.362300000000001</v>
      </c>
      <c r="AO121" s="47">
        <f t="shared" si="58"/>
        <v>203623</v>
      </c>
      <c r="AP121" s="47">
        <f t="shared" si="39"/>
        <v>1.2459</v>
      </c>
      <c r="AQ121" s="47">
        <f t="shared" si="59"/>
        <v>12459</v>
      </c>
      <c r="AR121" s="47"/>
      <c r="AS121" s="47">
        <f t="shared" si="60"/>
        <v>1.8693</v>
      </c>
      <c r="AT121" s="47">
        <f t="shared" si="70"/>
        <v>1.4951000000000001</v>
      </c>
      <c r="AU121" s="47">
        <f t="shared" si="61"/>
        <v>14951.000000000002</v>
      </c>
      <c r="AV121" s="47">
        <f t="shared" si="71"/>
        <v>0.37419999999999998</v>
      </c>
      <c r="AW121" s="47">
        <f t="shared" si="62"/>
        <v>3741.9999999999995</v>
      </c>
      <c r="AX121" s="47">
        <f t="shared" si="74"/>
        <v>38.540500000000002</v>
      </c>
      <c r="AY121" s="47"/>
      <c r="AZ121" s="47"/>
      <c r="BA121" s="54">
        <v>1E-4</v>
      </c>
      <c r="BB121" s="55" t="s">
        <v>248</v>
      </c>
      <c r="BC121" s="51">
        <f t="shared" si="63"/>
        <v>171.44400000000002</v>
      </c>
      <c r="BD121" s="47">
        <f t="shared" si="66"/>
        <v>41.04</v>
      </c>
      <c r="BE121" s="47">
        <f t="shared" si="64"/>
        <v>20.904</v>
      </c>
      <c r="BF121" s="47">
        <f>16870+550</f>
        <v>17420</v>
      </c>
      <c r="BG121" s="56">
        <v>108</v>
      </c>
      <c r="BH121" s="47">
        <v>1.5</v>
      </c>
      <c r="BI121" s="51">
        <f t="shared" si="43"/>
        <v>11.01</v>
      </c>
      <c r="BJ121" s="51">
        <f t="shared" si="44"/>
        <v>4.3860000000000001</v>
      </c>
      <c r="BK121" s="47"/>
      <c r="BL121" s="47">
        <v>4.3860000000000001</v>
      </c>
      <c r="BM121" s="47"/>
      <c r="BN121" s="47"/>
      <c r="BO121" s="47"/>
      <c r="BP121" s="68">
        <v>6.6239999999999997</v>
      </c>
      <c r="BQ121" s="68"/>
      <c r="BR121" s="47"/>
      <c r="BS121" s="53"/>
      <c r="BT121" s="47"/>
      <c r="BU121" s="47"/>
      <c r="BV121" s="47"/>
      <c r="BW121" s="68"/>
      <c r="BX121" s="47">
        <v>267</v>
      </c>
      <c r="BY121" s="47"/>
      <c r="BZ121" s="47"/>
      <c r="CA121" s="47"/>
      <c r="CB121" s="54">
        <f t="shared" si="67"/>
        <v>884.03009999999995</v>
      </c>
      <c r="CC121" s="47"/>
      <c r="CD121" s="57"/>
      <c r="CE121" s="47"/>
      <c r="CF121" s="47">
        <f t="shared" si="46"/>
        <v>884.03009999999995</v>
      </c>
    </row>
    <row r="122" spans="1:84" ht="14.25" customHeight="1">
      <c r="A122" s="47">
        <v>115</v>
      </c>
      <c r="B122" s="47" t="s">
        <v>129</v>
      </c>
      <c r="C122" s="48">
        <v>604001</v>
      </c>
      <c r="D122" s="49" t="s">
        <v>249</v>
      </c>
      <c r="E122" s="49" t="s">
        <v>150</v>
      </c>
      <c r="F122" s="50">
        <f t="shared" si="47"/>
        <v>8</v>
      </c>
      <c r="G122" s="50"/>
      <c r="H122" s="50"/>
      <c r="I122" s="50">
        <v>8</v>
      </c>
      <c r="J122" s="50"/>
      <c r="K122" s="50"/>
      <c r="L122" s="50">
        <v>40</v>
      </c>
      <c r="M122" s="50"/>
      <c r="N122" s="50">
        <v>4</v>
      </c>
      <c r="O122" s="50">
        <f t="shared" si="48"/>
        <v>52</v>
      </c>
      <c r="P122" s="51">
        <f t="shared" si="35"/>
        <v>924.19281999999998</v>
      </c>
      <c r="Q122" s="51">
        <f t="shared" si="36"/>
        <v>575.51282000000003</v>
      </c>
      <c r="R122" s="47">
        <f t="shared" si="49"/>
        <v>33264</v>
      </c>
      <c r="S122" s="58"/>
      <c r="T122" s="51">
        <v>33264</v>
      </c>
      <c r="U122" s="47">
        <f>ROUND((1439532*0.85/10000+R122*12/10000),5)</f>
        <v>162.27701999999999</v>
      </c>
      <c r="V122" s="51">
        <f t="shared" si="2"/>
        <v>0</v>
      </c>
      <c r="W122" s="47">
        <f t="shared" si="51"/>
        <v>0</v>
      </c>
      <c r="X122" s="47"/>
      <c r="Y122" s="47"/>
      <c r="Z122" s="47"/>
      <c r="AA122" s="47"/>
      <c r="AB122" s="51">
        <f t="shared" si="65"/>
        <v>11.52</v>
      </c>
      <c r="AC122" s="47">
        <f t="shared" si="53"/>
        <v>0</v>
      </c>
      <c r="AD122" s="47"/>
      <c r="AE122" s="47"/>
      <c r="AF122" s="47">
        <f t="shared" si="54"/>
        <v>11.52</v>
      </c>
      <c r="AG122" s="47">
        <v>9600</v>
      </c>
      <c r="AH122" s="47"/>
      <c r="AI122" s="47">
        <f>ROUND((2.59*(I122+J122+K122)+(40*2.59)*0.4),4)</f>
        <v>62.16</v>
      </c>
      <c r="AJ122" s="53">
        <f>ROUND(((T122+119961)*12/10000+48*2.59+AF122)*0.16,4)</f>
        <v>51.153599999999997</v>
      </c>
      <c r="AK122" s="53">
        <f t="shared" si="57"/>
        <v>511536</v>
      </c>
      <c r="AL122" s="47">
        <f>ROUND((119961*12+40*25900)*0.08/10000,4)</f>
        <v>19.804300000000001</v>
      </c>
      <c r="AM122" s="47">
        <f>ROUND((((T122+119961)*12/10000+48*2.59)*0.085+N122*0.0075),4)</f>
        <v>26.226199999999999</v>
      </c>
      <c r="AN122" s="47">
        <f>ROUND((((T122+119961)*12/10000+48*2.59)*0.08+N122*0.0075),4)</f>
        <v>24.685199999999998</v>
      </c>
      <c r="AO122" s="47">
        <f t="shared" si="58"/>
        <v>246851.99999999997</v>
      </c>
      <c r="AP122" s="47">
        <f>ROUND((((T122+119961)*12/10000+48*2.59)*0.005),4)</f>
        <v>1.5409999999999999</v>
      </c>
      <c r="AQ122" s="47">
        <f t="shared" si="59"/>
        <v>15410</v>
      </c>
      <c r="AR122" s="47"/>
      <c r="AS122" s="47">
        <f>ROUND(((((T122+119961)*12/10000+48*2.59)*0.007+((T122+119961)*12/10000+48*2.59)*0.006)),4)</f>
        <v>4.0065</v>
      </c>
      <c r="AT122" s="47">
        <f>ROUND(((((T122+119961)*12/10000+48*2.59)*0.006)),4)</f>
        <v>1.8491</v>
      </c>
      <c r="AU122" s="47">
        <f t="shared" si="61"/>
        <v>18491</v>
      </c>
      <c r="AV122" s="47">
        <f>ROUND(((((T122+119961)*12/10000+48*2.59)*0.007)),4)</f>
        <v>2.1573000000000002</v>
      </c>
      <c r="AW122" s="47">
        <f t="shared" si="62"/>
        <v>21573.000000000004</v>
      </c>
      <c r="AX122" s="47">
        <f>ROUND(((T122+119961)*12/10000+48*2.59+AF122)*0.12,4)</f>
        <v>38.365200000000002</v>
      </c>
      <c r="AY122" s="47"/>
      <c r="AZ122" s="47">
        <v>200</v>
      </c>
      <c r="BA122" s="54">
        <v>1E-4</v>
      </c>
      <c r="BB122" s="55" t="s">
        <v>249</v>
      </c>
      <c r="BC122" s="51">
        <f t="shared" si="63"/>
        <v>348.68</v>
      </c>
      <c r="BD122" s="47">
        <f t="shared" si="66"/>
        <v>7.68</v>
      </c>
      <c r="BE122" s="47">
        <f t="shared" si="64"/>
        <v>0</v>
      </c>
      <c r="BF122" s="47"/>
      <c r="BG122" s="56">
        <v>69</v>
      </c>
      <c r="BH122" s="47">
        <v>272</v>
      </c>
      <c r="BI122" s="51">
        <f t="shared" si="43"/>
        <v>0</v>
      </c>
      <c r="BJ122" s="51">
        <f t="shared" si="44"/>
        <v>0</v>
      </c>
      <c r="BK122" s="47"/>
      <c r="BL122" s="47"/>
      <c r="BM122" s="47"/>
      <c r="BN122" s="47"/>
      <c r="BO122" s="47"/>
      <c r="BP122" s="68"/>
      <c r="BQ122" s="47"/>
      <c r="BR122" s="47"/>
      <c r="BS122" s="53"/>
      <c r="BT122" s="47"/>
      <c r="BU122" s="47"/>
      <c r="BV122" s="47"/>
      <c r="BW122" s="47"/>
      <c r="BX122" s="47">
        <v>55</v>
      </c>
      <c r="BY122" s="47"/>
      <c r="BZ122" s="47"/>
      <c r="CA122" s="47"/>
      <c r="CB122" s="54">
        <f t="shared" si="67"/>
        <v>979.19281999999998</v>
      </c>
      <c r="CC122" s="47"/>
      <c r="CD122" s="57"/>
      <c r="CE122" s="47"/>
      <c r="CF122" s="47">
        <f t="shared" si="46"/>
        <v>979.19281999999998</v>
      </c>
    </row>
    <row r="123" spans="1:84" ht="14.25" customHeight="1">
      <c r="A123" s="47">
        <v>116</v>
      </c>
      <c r="B123" s="47" t="s">
        <v>129</v>
      </c>
      <c r="C123" s="48">
        <v>202001</v>
      </c>
      <c r="D123" s="49" t="s">
        <v>250</v>
      </c>
      <c r="E123" s="49" t="s">
        <v>131</v>
      </c>
      <c r="F123" s="50">
        <f t="shared" si="47"/>
        <v>55</v>
      </c>
      <c r="G123" s="50">
        <v>18</v>
      </c>
      <c r="H123" s="50"/>
      <c r="I123" s="50">
        <v>37</v>
      </c>
      <c r="J123" s="50"/>
      <c r="K123" s="50"/>
      <c r="L123" s="50"/>
      <c r="M123" s="50"/>
      <c r="N123" s="50">
        <v>77</v>
      </c>
      <c r="O123" s="50">
        <f t="shared" si="48"/>
        <v>132</v>
      </c>
      <c r="P123" s="51">
        <f t="shared" si="35"/>
        <v>1190.5786000000001</v>
      </c>
      <c r="Q123" s="51">
        <f t="shared" si="36"/>
        <v>764.2106</v>
      </c>
      <c r="R123" s="47">
        <f t="shared" si="49"/>
        <v>276719</v>
      </c>
      <c r="S123" s="58">
        <v>71026</v>
      </c>
      <c r="T123" s="58">
        <v>205693</v>
      </c>
      <c r="U123" s="47">
        <f>ROUND(R123*12/10000,5)</f>
        <v>332.06279999999998</v>
      </c>
      <c r="V123" s="51">
        <f t="shared" si="2"/>
        <v>40.86</v>
      </c>
      <c r="W123" s="47">
        <f t="shared" si="51"/>
        <v>40.5</v>
      </c>
      <c r="X123" s="47"/>
      <c r="Y123" s="47"/>
      <c r="Z123" s="47"/>
      <c r="AA123" s="47">
        <v>0.36</v>
      </c>
      <c r="AB123" s="51">
        <f t="shared" si="65"/>
        <v>92.740600000000001</v>
      </c>
      <c r="AC123" s="47">
        <f t="shared" si="53"/>
        <v>7.1025999999999998</v>
      </c>
      <c r="AD123" s="47"/>
      <c r="AE123" s="47"/>
      <c r="AF123" s="47">
        <f t="shared" si="54"/>
        <v>85.638000000000005</v>
      </c>
      <c r="AG123" s="47">
        <v>71365</v>
      </c>
      <c r="AH123" s="47"/>
      <c r="AI123" s="47">
        <f t="shared" si="55"/>
        <v>95.83</v>
      </c>
      <c r="AJ123" s="53">
        <f>ROUND((U123+W123+AC123+AE123+AF123+AI123)*0.16,4)</f>
        <v>89.781300000000002</v>
      </c>
      <c r="AK123" s="53">
        <f t="shared" si="57"/>
        <v>897813</v>
      </c>
      <c r="AL123" s="47"/>
      <c r="AM123" s="47">
        <f t="shared" si="68"/>
        <v>40.390900000000002</v>
      </c>
      <c r="AN123" s="47">
        <f t="shared" si="69"/>
        <v>38.048900000000003</v>
      </c>
      <c r="AO123" s="47">
        <f t="shared" si="58"/>
        <v>380489.00000000006</v>
      </c>
      <c r="AP123" s="47">
        <f t="shared" si="39"/>
        <v>2.3420000000000001</v>
      </c>
      <c r="AQ123" s="47">
        <f t="shared" si="59"/>
        <v>23420</v>
      </c>
      <c r="AR123" s="47"/>
      <c r="AS123" s="47">
        <f t="shared" si="60"/>
        <v>5.2089999999999996</v>
      </c>
      <c r="AT123" s="47">
        <f t="shared" si="70"/>
        <v>2.8104</v>
      </c>
      <c r="AU123" s="47">
        <f t="shared" si="61"/>
        <v>28104</v>
      </c>
      <c r="AV123" s="47">
        <f t="shared" si="71"/>
        <v>2.3986000000000001</v>
      </c>
      <c r="AW123" s="47">
        <f t="shared" si="62"/>
        <v>23986</v>
      </c>
      <c r="AX123" s="47">
        <f t="shared" si="74"/>
        <v>67.335999999999999</v>
      </c>
      <c r="AY123" s="47"/>
      <c r="AZ123" s="47"/>
      <c r="BA123" s="54">
        <v>1E-4</v>
      </c>
      <c r="BB123" s="55" t="s">
        <v>250</v>
      </c>
      <c r="BC123" s="51">
        <f t="shared" si="63"/>
        <v>405.37599999999998</v>
      </c>
      <c r="BD123" s="47">
        <f t="shared" si="66"/>
        <v>57.11999999999999</v>
      </c>
      <c r="BE123" s="47">
        <f t="shared" si="64"/>
        <v>14.256</v>
      </c>
      <c r="BF123" s="47">
        <v>11880</v>
      </c>
      <c r="BG123" s="56">
        <v>334</v>
      </c>
      <c r="BH123" s="47"/>
      <c r="BI123" s="51">
        <f t="shared" si="43"/>
        <v>20.992000000000001</v>
      </c>
      <c r="BJ123" s="51">
        <f t="shared" si="44"/>
        <v>0</v>
      </c>
      <c r="BK123" s="47"/>
      <c r="BL123" s="47"/>
      <c r="BM123" s="47"/>
      <c r="BN123" s="47"/>
      <c r="BO123" s="47"/>
      <c r="BP123" s="68">
        <v>7.992</v>
      </c>
      <c r="BQ123" s="47"/>
      <c r="BR123" s="47"/>
      <c r="BS123" s="53"/>
      <c r="BT123" s="47"/>
      <c r="BU123" s="47"/>
      <c r="BV123" s="47"/>
      <c r="BW123" s="47">
        <v>13</v>
      </c>
      <c r="BX123" s="47">
        <v>40</v>
      </c>
      <c r="BY123" s="47"/>
      <c r="BZ123" s="47"/>
      <c r="CA123" s="47"/>
      <c r="CB123" s="54">
        <f t="shared" si="67"/>
        <v>1230.5786000000001</v>
      </c>
      <c r="CC123" s="47"/>
      <c r="CD123" s="57">
        <v>99</v>
      </c>
      <c r="CE123" s="47"/>
      <c r="CF123" s="47">
        <f t="shared" si="46"/>
        <v>1329.5786000000001</v>
      </c>
    </row>
    <row r="124" spans="1:84" ht="14.25" customHeight="1">
      <c r="A124" s="47">
        <v>117</v>
      </c>
      <c r="B124" s="47" t="s">
        <v>129</v>
      </c>
      <c r="C124" s="48">
        <v>202002</v>
      </c>
      <c r="D124" s="60" t="s">
        <v>251</v>
      </c>
      <c r="E124" s="60" t="s">
        <v>150</v>
      </c>
      <c r="F124" s="50">
        <f t="shared" si="47"/>
        <v>275</v>
      </c>
      <c r="G124" s="50"/>
      <c r="H124" s="50"/>
      <c r="I124" s="50">
        <f>263+5</f>
        <v>268</v>
      </c>
      <c r="J124" s="50">
        <v>7</v>
      </c>
      <c r="K124" s="50"/>
      <c r="L124" s="50"/>
      <c r="M124" s="50"/>
      <c r="N124" s="50">
        <v>91</v>
      </c>
      <c r="O124" s="50">
        <f t="shared" si="48"/>
        <v>366</v>
      </c>
      <c r="P124" s="51">
        <f t="shared" si="35"/>
        <v>3750.6922</v>
      </c>
      <c r="Q124" s="51">
        <f t="shared" si="36"/>
        <v>3222.5066000000002</v>
      </c>
      <c r="R124" s="47">
        <f t="shared" si="49"/>
        <v>1316707</v>
      </c>
      <c r="S124" s="61"/>
      <c r="T124" s="61">
        <f>1306255+10452</f>
        <v>1316707</v>
      </c>
      <c r="U124" s="47">
        <f>ROUND(R124*12/10000,5)</f>
        <v>1580.0483999999999</v>
      </c>
      <c r="V124" s="51">
        <f t="shared" si="2"/>
        <v>0.72</v>
      </c>
      <c r="W124" s="47">
        <f t="shared" si="51"/>
        <v>0</v>
      </c>
      <c r="X124" s="47"/>
      <c r="Y124" s="47"/>
      <c r="Z124" s="47"/>
      <c r="AA124" s="47">
        <v>0.72</v>
      </c>
      <c r="AB124" s="51">
        <f t="shared" si="65"/>
        <v>0</v>
      </c>
      <c r="AC124" s="47">
        <f t="shared" si="53"/>
        <v>0</v>
      </c>
      <c r="AD124" s="47"/>
      <c r="AE124" s="47"/>
      <c r="AF124" s="47"/>
      <c r="AG124" s="47">
        <f>F124*600</f>
        <v>165000</v>
      </c>
      <c r="AH124" s="47"/>
      <c r="AI124" s="47">
        <f t="shared" si="55"/>
        <v>712.25</v>
      </c>
      <c r="AJ124" s="53">
        <f>ROUND((U124+W124+AC124+AE124+AG124*12/10000+AI124)*0.16,4)</f>
        <v>398.4477</v>
      </c>
      <c r="AK124" s="53">
        <f t="shared" si="57"/>
        <v>3984477</v>
      </c>
      <c r="AL124" s="47"/>
      <c r="AM124" s="47">
        <f t="shared" si="68"/>
        <v>195.52789999999999</v>
      </c>
      <c r="AN124" s="47">
        <f t="shared" si="69"/>
        <v>184.06639999999999</v>
      </c>
      <c r="AO124" s="47">
        <f t="shared" si="58"/>
        <v>1840663.9999999998</v>
      </c>
      <c r="AP124" s="47">
        <f t="shared" si="39"/>
        <v>11.461499999999999</v>
      </c>
      <c r="AQ124" s="47">
        <f t="shared" si="59"/>
        <v>114614.99999999999</v>
      </c>
      <c r="AR124" s="47"/>
      <c r="AS124" s="47">
        <f t="shared" ref="AS124:AS149" si="75">ROUND(((T124*12/10000+AI124)*0.007+(U124+W124+AI124)*0.009),4)</f>
        <v>36.6768</v>
      </c>
      <c r="AT124" s="47">
        <f t="shared" ref="AT124:AT149" si="76">ROUND(((U124+W124+AI124)*0.009),4)</f>
        <v>20.630700000000001</v>
      </c>
      <c r="AU124" s="47">
        <f t="shared" si="61"/>
        <v>206307</v>
      </c>
      <c r="AV124" s="47">
        <f t="shared" si="71"/>
        <v>16.046099999999999</v>
      </c>
      <c r="AW124" s="47">
        <f t="shared" si="62"/>
        <v>160461</v>
      </c>
      <c r="AX124" s="47">
        <f>ROUND((U124+W124+AC124+AE124+AG124*12/10000+AI124)*0.12,4)</f>
        <v>298.83580000000001</v>
      </c>
      <c r="AY124" s="47"/>
      <c r="AZ124" s="47"/>
      <c r="BA124" s="54">
        <v>1E-4</v>
      </c>
      <c r="BB124" s="65" t="s">
        <v>251</v>
      </c>
      <c r="BC124" s="51">
        <f t="shared" si="63"/>
        <v>439.29999999999995</v>
      </c>
      <c r="BD124" s="47"/>
      <c r="BE124" s="47">
        <f t="shared" si="64"/>
        <v>0</v>
      </c>
      <c r="BF124" s="47"/>
      <c r="BG124" s="72">
        <v>408.9</v>
      </c>
      <c r="BH124" s="47">
        <v>30.4</v>
      </c>
      <c r="BI124" s="51">
        <f t="shared" si="43"/>
        <v>88.885599999999997</v>
      </c>
      <c r="BJ124" s="51">
        <f t="shared" si="44"/>
        <v>0</v>
      </c>
      <c r="BK124" s="47"/>
      <c r="BL124" s="47"/>
      <c r="BM124" s="47"/>
      <c r="BN124" s="47"/>
      <c r="BO124" s="47"/>
      <c r="BP124" s="68">
        <v>5.0856000000000003</v>
      </c>
      <c r="BQ124" s="47"/>
      <c r="BR124" s="47"/>
      <c r="BS124" s="73">
        <v>83.8</v>
      </c>
      <c r="BT124" s="47"/>
      <c r="BU124" s="47"/>
      <c r="BV124" s="47"/>
      <c r="BW124" s="68"/>
      <c r="BX124" s="47">
        <v>120</v>
      </c>
      <c r="BY124" s="47"/>
      <c r="BZ124" s="47"/>
      <c r="CA124" s="47"/>
      <c r="CB124" s="54">
        <f t="shared" si="67"/>
        <v>3870.6922</v>
      </c>
      <c r="CC124" s="47"/>
      <c r="CD124" s="57">
        <v>767</v>
      </c>
      <c r="CE124" s="47"/>
      <c r="CF124" s="47">
        <f t="shared" si="46"/>
        <v>4637.6921999999995</v>
      </c>
    </row>
    <row r="125" spans="1:84" ht="14.25" customHeight="1">
      <c r="A125" s="47">
        <v>118</v>
      </c>
      <c r="B125" s="47" t="s">
        <v>129</v>
      </c>
      <c r="C125" s="48">
        <v>202003</v>
      </c>
      <c r="D125" s="60" t="s">
        <v>252</v>
      </c>
      <c r="E125" s="60" t="s">
        <v>150</v>
      </c>
      <c r="F125" s="50">
        <f t="shared" si="47"/>
        <v>88</v>
      </c>
      <c r="G125" s="50"/>
      <c r="H125" s="50"/>
      <c r="I125" s="50">
        <f>73+7</f>
        <v>80</v>
      </c>
      <c r="J125" s="50">
        <v>8</v>
      </c>
      <c r="K125" s="50"/>
      <c r="L125" s="50"/>
      <c r="M125" s="50"/>
      <c r="N125" s="50">
        <v>34</v>
      </c>
      <c r="O125" s="50">
        <f t="shared" si="48"/>
        <v>122</v>
      </c>
      <c r="P125" s="51">
        <f t="shared" si="35"/>
        <v>1319.1952999999999</v>
      </c>
      <c r="Q125" s="51">
        <f t="shared" si="36"/>
        <v>1058.3253</v>
      </c>
      <c r="R125" s="47">
        <f t="shared" si="49"/>
        <v>361972</v>
      </c>
      <c r="S125" s="61"/>
      <c r="T125" s="61">
        <f>348392+13580</f>
        <v>361972</v>
      </c>
      <c r="U125" s="47">
        <f t="shared" si="50"/>
        <v>434.3664</v>
      </c>
      <c r="V125" s="51">
        <f t="shared" si="2"/>
        <v>125.71199999999999</v>
      </c>
      <c r="W125" s="47">
        <f t="shared" si="51"/>
        <v>0</v>
      </c>
      <c r="X125" s="67">
        <v>77.111999999999995</v>
      </c>
      <c r="Y125" s="67">
        <v>48.6</v>
      </c>
      <c r="Z125" s="47"/>
      <c r="AA125" s="47"/>
      <c r="AB125" s="51">
        <f t="shared" si="65"/>
        <v>0</v>
      </c>
      <c r="AC125" s="47">
        <f t="shared" si="53"/>
        <v>0</v>
      </c>
      <c r="AD125" s="47"/>
      <c r="AE125" s="47"/>
      <c r="AF125" s="47"/>
      <c r="AG125" s="47">
        <f t="shared" ref="AG125:AG132" si="77">F125*600</f>
        <v>52800</v>
      </c>
      <c r="AH125" s="47"/>
      <c r="AI125" s="47">
        <f t="shared" si="55"/>
        <v>227.92</v>
      </c>
      <c r="AJ125" s="53">
        <f t="shared" ref="AJ125:AJ132" si="78">ROUND((U125+W125+AC125+AE125+AG125*12/10000+AI125)*0.16,4)</f>
        <v>116.10339999999999</v>
      </c>
      <c r="AK125" s="53">
        <f t="shared" si="57"/>
        <v>1161034</v>
      </c>
      <c r="AL125" s="47"/>
      <c r="AM125" s="47">
        <f t="shared" si="68"/>
        <v>56.549300000000002</v>
      </c>
      <c r="AN125" s="47">
        <f t="shared" si="69"/>
        <v>53.237900000000003</v>
      </c>
      <c r="AO125" s="47">
        <f t="shared" si="58"/>
        <v>532379</v>
      </c>
      <c r="AP125" s="47">
        <f t="shared" si="39"/>
        <v>3.3113999999999999</v>
      </c>
      <c r="AQ125" s="47">
        <f t="shared" si="59"/>
        <v>33114</v>
      </c>
      <c r="AR125" s="47"/>
      <c r="AS125" s="47">
        <f t="shared" si="75"/>
        <v>10.5966</v>
      </c>
      <c r="AT125" s="47">
        <f t="shared" si="76"/>
        <v>5.9606000000000003</v>
      </c>
      <c r="AU125" s="47">
        <f t="shared" si="61"/>
        <v>59606</v>
      </c>
      <c r="AV125" s="47">
        <f t="shared" si="71"/>
        <v>4.6360000000000001</v>
      </c>
      <c r="AW125" s="47">
        <f t="shared" si="62"/>
        <v>46360</v>
      </c>
      <c r="AX125" s="47">
        <f t="shared" ref="AX125:AX132" si="79">ROUND((U125+W125+AC125+AE125+AG125*12/10000+AI125)*0.12,4)</f>
        <v>87.077600000000004</v>
      </c>
      <c r="AY125" s="47"/>
      <c r="AZ125" s="47"/>
      <c r="BA125" s="54">
        <v>1E-4</v>
      </c>
      <c r="BB125" s="65" t="s">
        <v>252</v>
      </c>
      <c r="BC125" s="51">
        <f t="shared" si="63"/>
        <v>193.76</v>
      </c>
      <c r="BD125" s="47"/>
      <c r="BE125" s="47">
        <f t="shared" si="64"/>
        <v>0</v>
      </c>
      <c r="BF125" s="47"/>
      <c r="BG125" s="72">
        <v>161.76</v>
      </c>
      <c r="BH125" s="47">
        <v>32</v>
      </c>
      <c r="BI125" s="51">
        <f t="shared" si="43"/>
        <v>67.11</v>
      </c>
      <c r="BJ125" s="51">
        <f t="shared" si="44"/>
        <v>0</v>
      </c>
      <c r="BK125" s="47"/>
      <c r="BL125" s="47"/>
      <c r="BM125" s="47"/>
      <c r="BN125" s="47"/>
      <c r="BO125" s="47"/>
      <c r="BP125" s="68">
        <v>17.91</v>
      </c>
      <c r="BQ125" s="47"/>
      <c r="BR125" s="47"/>
      <c r="BS125" s="73">
        <v>49.2</v>
      </c>
      <c r="BT125" s="47"/>
      <c r="BU125" s="47"/>
      <c r="BV125" s="47"/>
      <c r="BW125" s="68"/>
      <c r="BX125" s="47">
        <v>10</v>
      </c>
      <c r="BY125" s="47"/>
      <c r="BZ125" s="47"/>
      <c r="CA125" s="47"/>
      <c r="CB125" s="54">
        <f t="shared" si="67"/>
        <v>1329.1952999999999</v>
      </c>
      <c r="CC125" s="47"/>
      <c r="CD125" s="57">
        <v>256</v>
      </c>
      <c r="CE125" s="47"/>
      <c r="CF125" s="47">
        <f t="shared" si="46"/>
        <v>1585.1952999999999</v>
      </c>
    </row>
    <row r="126" spans="1:84" ht="14.25" customHeight="1">
      <c r="A126" s="47">
        <v>119</v>
      </c>
      <c r="B126" s="47" t="s">
        <v>129</v>
      </c>
      <c r="C126" s="48">
        <v>202004</v>
      </c>
      <c r="D126" s="60" t="s">
        <v>253</v>
      </c>
      <c r="E126" s="60" t="s">
        <v>150</v>
      </c>
      <c r="F126" s="50">
        <f t="shared" si="47"/>
        <v>128</v>
      </c>
      <c r="G126" s="50"/>
      <c r="H126" s="50"/>
      <c r="I126" s="50">
        <f>117+5</f>
        <v>122</v>
      </c>
      <c r="J126" s="50">
        <v>6</v>
      </c>
      <c r="K126" s="50"/>
      <c r="L126" s="50"/>
      <c r="M126" s="50"/>
      <c r="N126" s="50">
        <v>21</v>
      </c>
      <c r="O126" s="50">
        <f t="shared" si="48"/>
        <v>149</v>
      </c>
      <c r="P126" s="51">
        <f t="shared" si="35"/>
        <v>1804.1287999999997</v>
      </c>
      <c r="Q126" s="51">
        <f t="shared" si="36"/>
        <v>1522.5167999999999</v>
      </c>
      <c r="R126" s="47">
        <f t="shared" si="49"/>
        <v>533298</v>
      </c>
      <c r="S126" s="61"/>
      <c r="T126" s="61">
        <f>523598+9700</f>
        <v>533298</v>
      </c>
      <c r="U126" s="47">
        <f t="shared" si="50"/>
        <v>639.95759999999996</v>
      </c>
      <c r="V126" s="51">
        <f t="shared" si="2"/>
        <v>154.94400000000002</v>
      </c>
      <c r="W126" s="47">
        <f t="shared" si="51"/>
        <v>0</v>
      </c>
      <c r="X126" s="67">
        <v>111.024</v>
      </c>
      <c r="Y126" s="67">
        <v>43.92</v>
      </c>
      <c r="Z126" s="47"/>
      <c r="AA126" s="47"/>
      <c r="AB126" s="51">
        <f t="shared" si="65"/>
        <v>0</v>
      </c>
      <c r="AC126" s="47">
        <f t="shared" si="53"/>
        <v>0</v>
      </c>
      <c r="AD126" s="47"/>
      <c r="AE126" s="47"/>
      <c r="AF126" s="47"/>
      <c r="AG126" s="47">
        <f t="shared" si="77"/>
        <v>76800</v>
      </c>
      <c r="AH126" s="47"/>
      <c r="AI126" s="47">
        <f t="shared" si="55"/>
        <v>331.52</v>
      </c>
      <c r="AJ126" s="53">
        <f t="shared" si="78"/>
        <v>170.18199999999999</v>
      </c>
      <c r="AK126" s="53">
        <f t="shared" si="57"/>
        <v>1701819.9999999998</v>
      </c>
      <c r="AL126" s="47"/>
      <c r="AM126" s="47">
        <f t="shared" si="68"/>
        <v>82.733099999999993</v>
      </c>
      <c r="AN126" s="47">
        <f t="shared" si="69"/>
        <v>77.875699999999995</v>
      </c>
      <c r="AO126" s="47">
        <f t="shared" si="58"/>
        <v>778757</v>
      </c>
      <c r="AP126" s="47">
        <f t="shared" si="39"/>
        <v>4.8574000000000002</v>
      </c>
      <c r="AQ126" s="47">
        <f t="shared" si="59"/>
        <v>48574</v>
      </c>
      <c r="AR126" s="47"/>
      <c r="AS126" s="47">
        <f t="shared" si="75"/>
        <v>15.5436</v>
      </c>
      <c r="AT126" s="47">
        <f t="shared" si="76"/>
        <v>8.7432999999999996</v>
      </c>
      <c r="AU126" s="47">
        <f t="shared" si="61"/>
        <v>87433</v>
      </c>
      <c r="AV126" s="47">
        <f t="shared" si="71"/>
        <v>6.8003</v>
      </c>
      <c r="AW126" s="47">
        <f t="shared" si="62"/>
        <v>68003</v>
      </c>
      <c r="AX126" s="47">
        <f t="shared" si="79"/>
        <v>127.6365</v>
      </c>
      <c r="AY126" s="47"/>
      <c r="AZ126" s="47"/>
      <c r="BA126" s="54">
        <v>1E-4</v>
      </c>
      <c r="BB126" s="65" t="s">
        <v>253</v>
      </c>
      <c r="BC126" s="51">
        <f t="shared" si="63"/>
        <v>215.3</v>
      </c>
      <c r="BD126" s="47"/>
      <c r="BE126" s="47">
        <f t="shared" si="64"/>
        <v>0</v>
      </c>
      <c r="BF126" s="47"/>
      <c r="BG126" s="72">
        <v>202.5</v>
      </c>
      <c r="BH126" s="47">
        <v>12.8</v>
      </c>
      <c r="BI126" s="51">
        <f t="shared" si="43"/>
        <v>66.311999999999998</v>
      </c>
      <c r="BJ126" s="51">
        <f t="shared" si="44"/>
        <v>0</v>
      </c>
      <c r="BK126" s="47"/>
      <c r="BL126" s="47"/>
      <c r="BM126" s="47"/>
      <c r="BN126" s="47"/>
      <c r="BO126" s="47"/>
      <c r="BP126" s="68">
        <v>3.3119999999999998</v>
      </c>
      <c r="BQ126" s="47"/>
      <c r="BR126" s="47"/>
      <c r="BS126" s="73">
        <v>63</v>
      </c>
      <c r="BT126" s="47"/>
      <c r="BU126" s="47"/>
      <c r="BV126" s="47"/>
      <c r="BW126" s="68"/>
      <c r="BX126" s="47"/>
      <c r="BY126" s="47"/>
      <c r="BZ126" s="47"/>
      <c r="CA126" s="47"/>
      <c r="CB126" s="54">
        <f t="shared" si="67"/>
        <v>1804.1287999999997</v>
      </c>
      <c r="CC126" s="47"/>
      <c r="CD126" s="57">
        <v>268</v>
      </c>
      <c r="CE126" s="47"/>
      <c r="CF126" s="47">
        <f t="shared" si="46"/>
        <v>2072.1287999999995</v>
      </c>
    </row>
    <row r="127" spans="1:84" ht="14.25" customHeight="1">
      <c r="A127" s="47">
        <v>120</v>
      </c>
      <c r="B127" s="47" t="s">
        <v>129</v>
      </c>
      <c r="C127" s="48">
        <v>202005</v>
      </c>
      <c r="D127" s="60" t="s">
        <v>254</v>
      </c>
      <c r="E127" s="60" t="s">
        <v>150</v>
      </c>
      <c r="F127" s="50">
        <f t="shared" si="47"/>
        <v>94</v>
      </c>
      <c r="G127" s="50"/>
      <c r="H127" s="50"/>
      <c r="I127" s="50">
        <f>85-1+5</f>
        <v>89</v>
      </c>
      <c r="J127" s="50">
        <v>5</v>
      </c>
      <c r="K127" s="50"/>
      <c r="L127" s="50"/>
      <c r="M127" s="50"/>
      <c r="N127" s="50">
        <v>19</v>
      </c>
      <c r="O127" s="50">
        <f t="shared" si="48"/>
        <v>113</v>
      </c>
      <c r="P127" s="51">
        <f t="shared" si="35"/>
        <v>1315.2506000000001</v>
      </c>
      <c r="Q127" s="51">
        <f t="shared" si="36"/>
        <v>1070.8546000000001</v>
      </c>
      <c r="R127" s="47">
        <f t="shared" si="49"/>
        <v>367318</v>
      </c>
      <c r="S127" s="61"/>
      <c r="T127" s="61">
        <f>357198+10120</f>
        <v>367318</v>
      </c>
      <c r="U127" s="47">
        <f t="shared" si="50"/>
        <v>440.78160000000003</v>
      </c>
      <c r="V127" s="51">
        <f t="shared" si="2"/>
        <v>106.82400000000001</v>
      </c>
      <c r="W127" s="47">
        <f t="shared" si="51"/>
        <v>0</v>
      </c>
      <c r="X127" s="67">
        <v>76.224000000000004</v>
      </c>
      <c r="Y127" s="67">
        <v>30.6</v>
      </c>
      <c r="Z127" s="47"/>
      <c r="AA127" s="47"/>
      <c r="AB127" s="51">
        <f t="shared" si="65"/>
        <v>0</v>
      </c>
      <c r="AC127" s="47">
        <f t="shared" si="53"/>
        <v>0</v>
      </c>
      <c r="AD127" s="47"/>
      <c r="AE127" s="47"/>
      <c r="AF127" s="47"/>
      <c r="AG127" s="47">
        <f t="shared" si="77"/>
        <v>56400</v>
      </c>
      <c r="AH127" s="47"/>
      <c r="AI127" s="47">
        <f t="shared" si="55"/>
        <v>243.46</v>
      </c>
      <c r="AJ127" s="53">
        <f t="shared" si="78"/>
        <v>120.3075</v>
      </c>
      <c r="AK127" s="53">
        <f t="shared" si="57"/>
        <v>1203075</v>
      </c>
      <c r="AL127" s="47"/>
      <c r="AM127" s="47">
        <f t="shared" si="68"/>
        <v>58.302999999999997</v>
      </c>
      <c r="AN127" s="47">
        <f t="shared" si="69"/>
        <v>54.881799999999998</v>
      </c>
      <c r="AO127" s="47">
        <f t="shared" si="58"/>
        <v>548818</v>
      </c>
      <c r="AP127" s="47">
        <f t="shared" si="39"/>
        <v>3.4211999999999998</v>
      </c>
      <c r="AQ127" s="47">
        <f t="shared" si="59"/>
        <v>34212</v>
      </c>
      <c r="AR127" s="47"/>
      <c r="AS127" s="47">
        <f t="shared" si="75"/>
        <v>10.947900000000001</v>
      </c>
      <c r="AT127" s="47">
        <f t="shared" si="76"/>
        <v>6.1581999999999999</v>
      </c>
      <c r="AU127" s="47">
        <f t="shared" si="61"/>
        <v>61582</v>
      </c>
      <c r="AV127" s="47">
        <f t="shared" si="71"/>
        <v>4.7896999999999998</v>
      </c>
      <c r="AW127" s="47">
        <f t="shared" si="62"/>
        <v>47897</v>
      </c>
      <c r="AX127" s="47">
        <f t="shared" si="79"/>
        <v>90.230599999999995</v>
      </c>
      <c r="AY127" s="47"/>
      <c r="AZ127" s="47"/>
      <c r="BA127" s="54">
        <v>1E-4</v>
      </c>
      <c r="BB127" s="65" t="s">
        <v>254</v>
      </c>
      <c r="BC127" s="51">
        <f t="shared" si="63"/>
        <v>179.48</v>
      </c>
      <c r="BD127" s="47"/>
      <c r="BE127" s="47">
        <f t="shared" si="64"/>
        <v>0</v>
      </c>
      <c r="BF127" s="47"/>
      <c r="BG127" s="72">
        <v>173.88</v>
      </c>
      <c r="BH127" s="47">
        <v>5.6</v>
      </c>
      <c r="BI127" s="51">
        <f t="shared" si="43"/>
        <v>64.915999999999997</v>
      </c>
      <c r="BJ127" s="51">
        <f t="shared" si="44"/>
        <v>0</v>
      </c>
      <c r="BK127" s="47"/>
      <c r="BL127" s="47"/>
      <c r="BM127" s="47"/>
      <c r="BN127" s="47"/>
      <c r="BO127" s="47"/>
      <c r="BP127" s="68">
        <f>4.836+0.48</f>
        <v>5.3160000000000007</v>
      </c>
      <c r="BQ127" s="47"/>
      <c r="BR127" s="47"/>
      <c r="BS127" s="73">
        <v>59.6</v>
      </c>
      <c r="BT127" s="47"/>
      <c r="BU127" s="47"/>
      <c r="BV127" s="47"/>
      <c r="BW127" s="68"/>
      <c r="BX127" s="47"/>
      <c r="BY127" s="47"/>
      <c r="BZ127" s="47"/>
      <c r="CA127" s="47"/>
      <c r="CB127" s="54">
        <f t="shared" si="67"/>
        <v>1315.2506000000001</v>
      </c>
      <c r="CC127" s="47"/>
      <c r="CD127" s="57">
        <v>236</v>
      </c>
      <c r="CE127" s="47"/>
      <c r="CF127" s="47">
        <f t="shared" si="46"/>
        <v>1551.2506000000001</v>
      </c>
    </row>
    <row r="128" spans="1:84" ht="14.25" customHeight="1">
      <c r="A128" s="47">
        <v>121</v>
      </c>
      <c r="B128" s="47" t="s">
        <v>129</v>
      </c>
      <c r="C128" s="48">
        <v>202006</v>
      </c>
      <c r="D128" s="60" t="s">
        <v>255</v>
      </c>
      <c r="E128" s="60" t="s">
        <v>150</v>
      </c>
      <c r="F128" s="50">
        <f t="shared" si="47"/>
        <v>70</v>
      </c>
      <c r="G128" s="50"/>
      <c r="H128" s="50"/>
      <c r="I128" s="50">
        <f>63+4</f>
        <v>67</v>
      </c>
      <c r="J128" s="50">
        <v>3</v>
      </c>
      <c r="K128" s="50"/>
      <c r="L128" s="50"/>
      <c r="M128" s="50"/>
      <c r="N128" s="50">
        <v>20</v>
      </c>
      <c r="O128" s="50">
        <f t="shared" si="48"/>
        <v>90</v>
      </c>
      <c r="P128" s="51">
        <f t="shared" si="35"/>
        <v>982.99250000000006</v>
      </c>
      <c r="Q128" s="51">
        <f t="shared" si="36"/>
        <v>791.04050000000007</v>
      </c>
      <c r="R128" s="47">
        <f t="shared" si="49"/>
        <v>267943</v>
      </c>
      <c r="S128" s="61"/>
      <c r="T128" s="61">
        <f>260183+7760</f>
        <v>267943</v>
      </c>
      <c r="U128" s="47">
        <f t="shared" si="50"/>
        <v>321.53160000000003</v>
      </c>
      <c r="V128" s="51">
        <f t="shared" si="2"/>
        <v>82.367999999999995</v>
      </c>
      <c r="W128" s="47">
        <f t="shared" si="51"/>
        <v>0</v>
      </c>
      <c r="X128" s="67">
        <v>58.247999999999998</v>
      </c>
      <c r="Y128" s="67">
        <v>24.12</v>
      </c>
      <c r="Z128" s="47"/>
      <c r="AA128" s="47"/>
      <c r="AB128" s="51">
        <f t="shared" si="65"/>
        <v>0</v>
      </c>
      <c r="AC128" s="47">
        <f t="shared" si="53"/>
        <v>0</v>
      </c>
      <c r="AD128" s="47"/>
      <c r="AE128" s="47"/>
      <c r="AF128" s="47"/>
      <c r="AG128" s="47">
        <f t="shared" si="77"/>
        <v>42000</v>
      </c>
      <c r="AH128" s="47"/>
      <c r="AI128" s="47">
        <f t="shared" si="55"/>
        <v>181.3</v>
      </c>
      <c r="AJ128" s="53">
        <f t="shared" si="78"/>
        <v>88.517099999999999</v>
      </c>
      <c r="AK128" s="53">
        <f t="shared" si="57"/>
        <v>885171</v>
      </c>
      <c r="AL128" s="47"/>
      <c r="AM128" s="47">
        <f t="shared" si="68"/>
        <v>42.890700000000002</v>
      </c>
      <c r="AN128" s="47">
        <f t="shared" si="69"/>
        <v>40.3765</v>
      </c>
      <c r="AO128" s="47">
        <f t="shared" si="58"/>
        <v>403765</v>
      </c>
      <c r="AP128" s="47">
        <f t="shared" si="39"/>
        <v>2.5142000000000002</v>
      </c>
      <c r="AQ128" s="47">
        <f t="shared" si="59"/>
        <v>25142.000000000004</v>
      </c>
      <c r="AR128" s="47"/>
      <c r="AS128" s="47">
        <f t="shared" si="75"/>
        <v>8.0452999999999992</v>
      </c>
      <c r="AT128" s="47">
        <f t="shared" si="76"/>
        <v>4.5255000000000001</v>
      </c>
      <c r="AU128" s="47">
        <f t="shared" si="61"/>
        <v>45255</v>
      </c>
      <c r="AV128" s="47">
        <f t="shared" si="71"/>
        <v>3.5198</v>
      </c>
      <c r="AW128" s="47">
        <f t="shared" si="62"/>
        <v>35198</v>
      </c>
      <c r="AX128" s="47">
        <f t="shared" si="79"/>
        <v>66.387799999999999</v>
      </c>
      <c r="AY128" s="47"/>
      <c r="AZ128" s="47"/>
      <c r="BA128" s="54">
        <v>1E-4</v>
      </c>
      <c r="BB128" s="65" t="s">
        <v>255</v>
      </c>
      <c r="BC128" s="51">
        <f t="shared" si="63"/>
        <v>143.97999999999999</v>
      </c>
      <c r="BD128" s="47"/>
      <c r="BE128" s="47">
        <f t="shared" si="64"/>
        <v>0</v>
      </c>
      <c r="BF128" s="47"/>
      <c r="BG128" s="72">
        <v>139.97999999999999</v>
      </c>
      <c r="BH128" s="47">
        <v>4</v>
      </c>
      <c r="BI128" s="51">
        <f t="shared" si="43"/>
        <v>47.972000000000001</v>
      </c>
      <c r="BJ128" s="51">
        <f t="shared" si="44"/>
        <v>0</v>
      </c>
      <c r="BK128" s="47"/>
      <c r="BL128" s="47"/>
      <c r="BM128" s="47"/>
      <c r="BN128" s="47"/>
      <c r="BO128" s="47"/>
      <c r="BP128" s="68">
        <v>6.3719999999999999</v>
      </c>
      <c r="BQ128" s="47"/>
      <c r="BR128" s="47"/>
      <c r="BS128" s="73">
        <v>41.6</v>
      </c>
      <c r="BT128" s="47"/>
      <c r="BU128" s="47"/>
      <c r="BV128" s="47"/>
      <c r="BW128" s="68"/>
      <c r="BX128" s="47"/>
      <c r="BY128" s="47"/>
      <c r="BZ128" s="47"/>
      <c r="CA128" s="47"/>
      <c r="CB128" s="54">
        <f t="shared" si="67"/>
        <v>982.99250000000006</v>
      </c>
      <c r="CC128" s="47"/>
      <c r="CD128" s="57">
        <v>196</v>
      </c>
      <c r="CE128" s="47"/>
      <c r="CF128" s="47">
        <f t="shared" si="46"/>
        <v>1178.9925000000001</v>
      </c>
    </row>
    <row r="129" spans="1:84" ht="14.25" customHeight="1">
      <c r="A129" s="47">
        <v>122</v>
      </c>
      <c r="B129" s="47" t="s">
        <v>129</v>
      </c>
      <c r="C129" s="48">
        <v>202007</v>
      </c>
      <c r="D129" s="60" t="s">
        <v>256</v>
      </c>
      <c r="E129" s="60" t="s">
        <v>150</v>
      </c>
      <c r="F129" s="50">
        <f t="shared" si="47"/>
        <v>272</v>
      </c>
      <c r="G129" s="50"/>
      <c r="H129" s="50"/>
      <c r="I129" s="50">
        <f>254+11</f>
        <v>265</v>
      </c>
      <c r="J129" s="50">
        <v>7</v>
      </c>
      <c r="K129" s="50"/>
      <c r="L129" s="50"/>
      <c r="M129" s="50"/>
      <c r="N129" s="50">
        <v>71</v>
      </c>
      <c r="O129" s="50">
        <f t="shared" si="48"/>
        <v>343</v>
      </c>
      <c r="P129" s="51">
        <f t="shared" si="35"/>
        <v>3623.7057000000009</v>
      </c>
      <c r="Q129" s="51">
        <f t="shared" si="36"/>
        <v>2989.3817000000008</v>
      </c>
      <c r="R129" s="47">
        <f t="shared" si="49"/>
        <v>1183398</v>
      </c>
      <c r="S129" s="61"/>
      <c r="T129" s="61">
        <f>1162058+21340</f>
        <v>1183398</v>
      </c>
      <c r="U129" s="47">
        <f t="shared" si="50"/>
        <v>1420.0776000000001</v>
      </c>
      <c r="V129" s="51">
        <f t="shared" si="2"/>
        <v>0</v>
      </c>
      <c r="W129" s="47">
        <f t="shared" si="51"/>
        <v>0</v>
      </c>
      <c r="X129" s="47"/>
      <c r="Y129" s="47"/>
      <c r="Z129" s="47"/>
      <c r="AA129" s="47"/>
      <c r="AB129" s="51">
        <f t="shared" si="65"/>
        <v>0</v>
      </c>
      <c r="AC129" s="47">
        <f t="shared" si="53"/>
        <v>0</v>
      </c>
      <c r="AD129" s="47"/>
      <c r="AE129" s="47"/>
      <c r="AF129" s="47"/>
      <c r="AG129" s="47">
        <f t="shared" si="77"/>
        <v>163200</v>
      </c>
      <c r="AH129" s="47"/>
      <c r="AI129" s="47">
        <f t="shared" si="55"/>
        <v>704.48</v>
      </c>
      <c r="AJ129" s="53">
        <f t="shared" si="78"/>
        <v>371.2636</v>
      </c>
      <c r="AK129" s="53">
        <f t="shared" si="57"/>
        <v>3712636</v>
      </c>
      <c r="AL129" s="47"/>
      <c r="AM129" s="47">
        <f t="shared" si="68"/>
        <v>181.1199</v>
      </c>
      <c r="AN129" s="47">
        <f t="shared" si="69"/>
        <v>170.49709999999999</v>
      </c>
      <c r="AO129" s="47">
        <f t="shared" si="58"/>
        <v>1704971</v>
      </c>
      <c r="AP129" s="47">
        <f t="shared" si="39"/>
        <v>10.6228</v>
      </c>
      <c r="AQ129" s="47">
        <f t="shared" si="59"/>
        <v>106228</v>
      </c>
      <c r="AR129" s="47"/>
      <c r="AS129" s="47">
        <f t="shared" si="75"/>
        <v>33.992899999999999</v>
      </c>
      <c r="AT129" s="47">
        <f t="shared" si="76"/>
        <v>19.120999999999999</v>
      </c>
      <c r="AU129" s="47">
        <f t="shared" si="61"/>
        <v>191210</v>
      </c>
      <c r="AV129" s="47">
        <f t="shared" si="71"/>
        <v>14.8719</v>
      </c>
      <c r="AW129" s="47">
        <f t="shared" si="62"/>
        <v>148719</v>
      </c>
      <c r="AX129" s="47">
        <f t="shared" si="79"/>
        <v>278.4477</v>
      </c>
      <c r="AY129" s="47"/>
      <c r="AZ129" s="47"/>
      <c r="BA129" s="54">
        <v>1E-4</v>
      </c>
      <c r="BB129" s="65" t="s">
        <v>256</v>
      </c>
      <c r="BC129" s="51">
        <f t="shared" si="63"/>
        <v>509.5</v>
      </c>
      <c r="BD129" s="47"/>
      <c r="BE129" s="47">
        <f t="shared" si="64"/>
        <v>0</v>
      </c>
      <c r="BF129" s="47"/>
      <c r="BG129" s="72">
        <v>477.5</v>
      </c>
      <c r="BH129" s="47">
        <v>32</v>
      </c>
      <c r="BI129" s="51">
        <f t="shared" si="43"/>
        <v>124.824</v>
      </c>
      <c r="BJ129" s="51">
        <f t="shared" si="44"/>
        <v>0</v>
      </c>
      <c r="BK129" s="47"/>
      <c r="BL129" s="47"/>
      <c r="BM129" s="47"/>
      <c r="BN129" s="47"/>
      <c r="BO129" s="47"/>
      <c r="BP129" s="68">
        <v>4.8239999999999998</v>
      </c>
      <c r="BQ129" s="47"/>
      <c r="BR129" s="47"/>
      <c r="BS129" s="73">
        <v>120</v>
      </c>
      <c r="BT129" s="47"/>
      <c r="BU129" s="47"/>
      <c r="BV129" s="47"/>
      <c r="BW129" s="68"/>
      <c r="BX129" s="47">
        <v>30</v>
      </c>
      <c r="BY129" s="47"/>
      <c r="BZ129" s="47"/>
      <c r="CA129" s="47"/>
      <c r="CB129" s="54">
        <f t="shared" si="67"/>
        <v>3653.7057000000009</v>
      </c>
      <c r="CC129" s="47"/>
      <c r="CD129" s="57">
        <v>858</v>
      </c>
      <c r="CE129" s="47"/>
      <c r="CF129" s="47">
        <f t="shared" si="46"/>
        <v>4511.7057000000004</v>
      </c>
    </row>
    <row r="130" spans="1:84" ht="28.5" customHeight="1">
      <c r="A130" s="47">
        <v>123</v>
      </c>
      <c r="B130" s="47" t="s">
        <v>129</v>
      </c>
      <c r="C130" s="48">
        <v>202008</v>
      </c>
      <c r="D130" s="71" t="s">
        <v>257</v>
      </c>
      <c r="E130" s="60" t="s">
        <v>150</v>
      </c>
      <c r="F130" s="50">
        <f t="shared" si="47"/>
        <v>178</v>
      </c>
      <c r="G130" s="50"/>
      <c r="H130" s="50"/>
      <c r="I130" s="50">
        <f>158+11</f>
        <v>169</v>
      </c>
      <c r="J130" s="50">
        <v>9</v>
      </c>
      <c r="K130" s="50"/>
      <c r="L130" s="50"/>
      <c r="M130" s="50">
        <v>1</v>
      </c>
      <c r="N130" s="50">
        <v>38</v>
      </c>
      <c r="O130" s="50">
        <f t="shared" si="48"/>
        <v>217</v>
      </c>
      <c r="P130" s="51">
        <f t="shared" si="35"/>
        <v>3310.9829999999997</v>
      </c>
      <c r="Q130" s="51">
        <f t="shared" si="36"/>
        <v>1895.5089999999998</v>
      </c>
      <c r="R130" s="47">
        <f t="shared" si="49"/>
        <v>737793</v>
      </c>
      <c r="S130" s="61"/>
      <c r="T130" s="61">
        <v>737793</v>
      </c>
      <c r="U130" s="47">
        <f t="shared" si="50"/>
        <v>885.35159999999996</v>
      </c>
      <c r="V130" s="51">
        <f t="shared" si="2"/>
        <v>0</v>
      </c>
      <c r="W130" s="47">
        <f t="shared" si="51"/>
        <v>0</v>
      </c>
      <c r="X130" s="47"/>
      <c r="Y130" s="47"/>
      <c r="Z130" s="47"/>
      <c r="AA130" s="47"/>
      <c r="AB130" s="51">
        <f t="shared" si="65"/>
        <v>0</v>
      </c>
      <c r="AC130" s="47">
        <f t="shared" si="53"/>
        <v>0</v>
      </c>
      <c r="AD130" s="47"/>
      <c r="AE130" s="47"/>
      <c r="AF130" s="47"/>
      <c r="AG130" s="47">
        <f t="shared" si="77"/>
        <v>106800</v>
      </c>
      <c r="AH130" s="47"/>
      <c r="AI130" s="47">
        <f t="shared" si="55"/>
        <v>461.02</v>
      </c>
      <c r="AJ130" s="53">
        <f t="shared" si="78"/>
        <v>235.92509999999999</v>
      </c>
      <c r="AK130" s="53">
        <f t="shared" si="57"/>
        <v>2359251</v>
      </c>
      <c r="AL130" s="47"/>
      <c r="AM130" s="47">
        <f t="shared" si="68"/>
        <v>114.7266</v>
      </c>
      <c r="AN130" s="47">
        <f t="shared" si="69"/>
        <v>107.99469999999999</v>
      </c>
      <c r="AO130" s="47">
        <f t="shared" si="58"/>
        <v>1079947</v>
      </c>
      <c r="AP130" s="47">
        <f t="shared" si="39"/>
        <v>6.7319000000000004</v>
      </c>
      <c r="AQ130" s="47">
        <f t="shared" si="59"/>
        <v>67319</v>
      </c>
      <c r="AR130" s="47"/>
      <c r="AS130" s="47">
        <f t="shared" si="75"/>
        <v>21.541899999999998</v>
      </c>
      <c r="AT130" s="47">
        <f t="shared" si="76"/>
        <v>12.1173</v>
      </c>
      <c r="AU130" s="47">
        <f t="shared" si="61"/>
        <v>121173</v>
      </c>
      <c r="AV130" s="47">
        <f t="shared" si="71"/>
        <v>9.4245999999999999</v>
      </c>
      <c r="AW130" s="47">
        <f t="shared" si="62"/>
        <v>94246</v>
      </c>
      <c r="AX130" s="47">
        <f t="shared" si="79"/>
        <v>176.94380000000001</v>
      </c>
      <c r="AY130" s="47"/>
      <c r="AZ130" s="47"/>
      <c r="BA130" s="54">
        <v>1E-4</v>
      </c>
      <c r="BB130" s="74" t="s">
        <v>257</v>
      </c>
      <c r="BC130" s="51">
        <f t="shared" si="63"/>
        <v>889.52</v>
      </c>
      <c r="BD130" s="47"/>
      <c r="BE130" s="47">
        <f t="shared" si="64"/>
        <v>0</v>
      </c>
      <c r="BF130" s="47"/>
      <c r="BG130" s="72">
        <v>867.12</v>
      </c>
      <c r="BH130" s="47">
        <v>22.4</v>
      </c>
      <c r="BI130" s="51">
        <f t="shared" si="43"/>
        <v>525.95400000000006</v>
      </c>
      <c r="BJ130" s="51">
        <f t="shared" si="44"/>
        <v>4.3860000000000001</v>
      </c>
      <c r="BK130" s="47"/>
      <c r="BL130" s="47">
        <v>4.3860000000000001</v>
      </c>
      <c r="BM130" s="47"/>
      <c r="BN130" s="47"/>
      <c r="BO130" s="47"/>
      <c r="BP130" s="68">
        <v>4.968</v>
      </c>
      <c r="BQ130" s="47"/>
      <c r="BR130" s="47"/>
      <c r="BS130" s="73">
        <v>516.6</v>
      </c>
      <c r="BT130" s="47"/>
      <c r="BU130" s="47"/>
      <c r="BV130" s="47"/>
      <c r="BW130" s="47"/>
      <c r="BX130" s="47">
        <v>80</v>
      </c>
      <c r="BY130" s="47"/>
      <c r="BZ130" s="47"/>
      <c r="CA130" s="47"/>
      <c r="CB130" s="54">
        <f t="shared" si="67"/>
        <v>3390.9829999999997</v>
      </c>
      <c r="CC130" s="47"/>
      <c r="CD130" s="57">
        <v>177</v>
      </c>
      <c r="CE130" s="47"/>
      <c r="CF130" s="47">
        <f t="shared" si="46"/>
        <v>3567.9829999999997</v>
      </c>
    </row>
    <row r="131" spans="1:84" ht="14.25" customHeight="1">
      <c r="A131" s="47">
        <v>124</v>
      </c>
      <c r="B131" s="47" t="s">
        <v>129</v>
      </c>
      <c r="C131" s="48">
        <v>202009</v>
      </c>
      <c r="D131" s="60" t="s">
        <v>258</v>
      </c>
      <c r="E131" s="60" t="s">
        <v>150</v>
      </c>
      <c r="F131" s="50">
        <f t="shared" si="47"/>
        <v>23</v>
      </c>
      <c r="G131" s="50"/>
      <c r="H131" s="50"/>
      <c r="I131" s="50">
        <v>23</v>
      </c>
      <c r="J131" s="50"/>
      <c r="K131" s="50"/>
      <c r="L131" s="50"/>
      <c r="M131" s="50"/>
      <c r="N131" s="50">
        <v>27</v>
      </c>
      <c r="O131" s="50">
        <f t="shared" si="48"/>
        <v>50</v>
      </c>
      <c r="P131" s="51">
        <f t="shared" si="35"/>
        <v>299.99589999999995</v>
      </c>
      <c r="Q131" s="51">
        <f t="shared" si="36"/>
        <v>295.56789999999995</v>
      </c>
      <c r="R131" s="47">
        <f t="shared" si="49"/>
        <v>125792</v>
      </c>
      <c r="S131" s="61"/>
      <c r="T131" s="61">
        <v>125792</v>
      </c>
      <c r="U131" s="47">
        <f t="shared" si="50"/>
        <v>150.9504</v>
      </c>
      <c r="V131" s="51">
        <f t="shared" si="2"/>
        <v>0</v>
      </c>
      <c r="W131" s="47">
        <f t="shared" si="51"/>
        <v>0</v>
      </c>
      <c r="X131" s="47"/>
      <c r="Y131" s="47"/>
      <c r="Z131" s="47"/>
      <c r="AA131" s="47"/>
      <c r="AB131" s="51">
        <f t="shared" si="65"/>
        <v>0</v>
      </c>
      <c r="AC131" s="47">
        <f t="shared" si="53"/>
        <v>0</v>
      </c>
      <c r="AD131" s="47"/>
      <c r="AE131" s="47"/>
      <c r="AF131" s="47"/>
      <c r="AG131" s="47">
        <f t="shared" si="77"/>
        <v>13800</v>
      </c>
      <c r="AH131" s="47"/>
      <c r="AI131" s="47">
        <f t="shared" si="55"/>
        <v>59.57</v>
      </c>
      <c r="AJ131" s="53">
        <f t="shared" si="78"/>
        <v>36.332900000000002</v>
      </c>
      <c r="AK131" s="53">
        <f t="shared" si="57"/>
        <v>363329</v>
      </c>
      <c r="AL131" s="47"/>
      <c r="AM131" s="47">
        <f t="shared" si="68"/>
        <v>18.096699999999998</v>
      </c>
      <c r="AN131" s="47">
        <f t="shared" si="69"/>
        <v>17.0441</v>
      </c>
      <c r="AO131" s="47">
        <f t="shared" si="58"/>
        <v>170441</v>
      </c>
      <c r="AP131" s="47">
        <f t="shared" si="39"/>
        <v>1.0526</v>
      </c>
      <c r="AQ131" s="47">
        <f t="shared" si="59"/>
        <v>10526</v>
      </c>
      <c r="AR131" s="47"/>
      <c r="AS131" s="47">
        <f t="shared" si="75"/>
        <v>3.3683000000000001</v>
      </c>
      <c r="AT131" s="47">
        <f t="shared" si="76"/>
        <v>1.8947000000000001</v>
      </c>
      <c r="AU131" s="47">
        <f t="shared" si="61"/>
        <v>18947</v>
      </c>
      <c r="AV131" s="47">
        <f t="shared" si="71"/>
        <v>1.4736</v>
      </c>
      <c r="AW131" s="47">
        <f t="shared" si="62"/>
        <v>14736</v>
      </c>
      <c r="AX131" s="47">
        <f t="shared" si="79"/>
        <v>27.249600000000001</v>
      </c>
      <c r="AY131" s="47"/>
      <c r="AZ131" s="47"/>
      <c r="BA131" s="54">
        <v>1E-4</v>
      </c>
      <c r="BB131" s="65" t="s">
        <v>258</v>
      </c>
      <c r="BC131" s="51">
        <f t="shared" si="63"/>
        <v>0</v>
      </c>
      <c r="BD131" s="47"/>
      <c r="BE131" s="47">
        <f t="shared" si="64"/>
        <v>0</v>
      </c>
      <c r="BF131" s="47"/>
      <c r="BG131" s="56"/>
      <c r="BH131" s="47"/>
      <c r="BI131" s="51">
        <f t="shared" si="43"/>
        <v>4.4279999999999999</v>
      </c>
      <c r="BJ131" s="51">
        <f t="shared" si="44"/>
        <v>0</v>
      </c>
      <c r="BK131" s="47"/>
      <c r="BL131" s="47"/>
      <c r="BM131" s="47"/>
      <c r="BN131" s="47"/>
      <c r="BO131" s="47"/>
      <c r="BP131" s="68">
        <v>4.4279999999999999</v>
      </c>
      <c r="BQ131" s="47"/>
      <c r="BR131" s="47"/>
      <c r="BS131" s="53"/>
      <c r="BT131" s="47"/>
      <c r="BU131" s="47"/>
      <c r="BV131" s="47"/>
      <c r="BW131" s="47"/>
      <c r="BX131" s="47"/>
      <c r="BY131" s="47"/>
      <c r="BZ131" s="47"/>
      <c r="CA131" s="47"/>
      <c r="CB131" s="54">
        <f t="shared" si="67"/>
        <v>299.99589999999995</v>
      </c>
      <c r="CC131" s="47"/>
      <c r="CD131" s="57">
        <v>4</v>
      </c>
      <c r="CE131" s="47"/>
      <c r="CF131" s="47">
        <f t="shared" si="46"/>
        <v>303.99589999999995</v>
      </c>
    </row>
    <row r="132" spans="1:84" ht="14.25" customHeight="1">
      <c r="A132" s="47">
        <v>125</v>
      </c>
      <c r="B132" s="47" t="s">
        <v>129</v>
      </c>
      <c r="C132" s="75">
        <v>202010</v>
      </c>
      <c r="D132" s="60" t="s">
        <v>259</v>
      </c>
      <c r="E132" s="60" t="s">
        <v>150</v>
      </c>
      <c r="F132" s="50">
        <f t="shared" si="47"/>
        <v>17</v>
      </c>
      <c r="G132" s="50"/>
      <c r="H132" s="50"/>
      <c r="I132" s="50">
        <v>17</v>
      </c>
      <c r="J132" s="50"/>
      <c r="K132" s="50"/>
      <c r="L132" s="50"/>
      <c r="M132" s="50"/>
      <c r="N132" s="50">
        <v>13</v>
      </c>
      <c r="O132" s="50">
        <f t="shared" si="48"/>
        <v>30</v>
      </c>
      <c r="P132" s="51">
        <f t="shared" si="35"/>
        <v>289.09659999999997</v>
      </c>
      <c r="Q132" s="51">
        <f t="shared" si="36"/>
        <v>169.09659999999997</v>
      </c>
      <c r="R132" s="47">
        <f t="shared" si="49"/>
        <v>63219</v>
      </c>
      <c r="S132" s="61"/>
      <c r="T132" s="61">
        <v>63219</v>
      </c>
      <c r="U132" s="47">
        <f t="shared" si="50"/>
        <v>75.862799999999993</v>
      </c>
      <c r="V132" s="51">
        <f t="shared" si="2"/>
        <v>0</v>
      </c>
      <c r="W132" s="47">
        <f t="shared" si="51"/>
        <v>0</v>
      </c>
      <c r="X132" s="47"/>
      <c r="Y132" s="47"/>
      <c r="Z132" s="47"/>
      <c r="AA132" s="47"/>
      <c r="AB132" s="51">
        <f t="shared" si="65"/>
        <v>0</v>
      </c>
      <c r="AC132" s="47">
        <f t="shared" si="53"/>
        <v>0</v>
      </c>
      <c r="AD132" s="47"/>
      <c r="AE132" s="47"/>
      <c r="AF132" s="47"/>
      <c r="AG132" s="47">
        <f t="shared" si="77"/>
        <v>10200</v>
      </c>
      <c r="AH132" s="47"/>
      <c r="AI132" s="47">
        <f t="shared" si="55"/>
        <v>44.03</v>
      </c>
      <c r="AJ132" s="53">
        <f t="shared" si="78"/>
        <v>21.141200000000001</v>
      </c>
      <c r="AK132" s="53">
        <f t="shared" si="57"/>
        <v>211412</v>
      </c>
      <c r="AL132" s="47"/>
      <c r="AM132" s="47">
        <f t="shared" si="68"/>
        <v>10.288399999999999</v>
      </c>
      <c r="AN132" s="47">
        <f t="shared" si="69"/>
        <v>9.6889000000000003</v>
      </c>
      <c r="AO132" s="47">
        <f t="shared" si="58"/>
        <v>96889</v>
      </c>
      <c r="AP132" s="47">
        <f t="shared" si="39"/>
        <v>0.59950000000000003</v>
      </c>
      <c r="AQ132" s="47">
        <f t="shared" si="59"/>
        <v>5995</v>
      </c>
      <c r="AR132" s="47"/>
      <c r="AS132" s="47">
        <f t="shared" si="75"/>
        <v>1.9182999999999999</v>
      </c>
      <c r="AT132" s="47">
        <f t="shared" si="76"/>
        <v>1.079</v>
      </c>
      <c r="AU132" s="47">
        <f t="shared" si="61"/>
        <v>10790</v>
      </c>
      <c r="AV132" s="47">
        <f t="shared" si="71"/>
        <v>0.83919999999999995</v>
      </c>
      <c r="AW132" s="47">
        <f t="shared" si="62"/>
        <v>8392</v>
      </c>
      <c r="AX132" s="47">
        <f t="shared" si="79"/>
        <v>15.8559</v>
      </c>
      <c r="AY132" s="47"/>
      <c r="AZ132" s="47"/>
      <c r="BA132" s="54">
        <v>1E-4</v>
      </c>
      <c r="BB132" s="65" t="s">
        <v>259</v>
      </c>
      <c r="BC132" s="51">
        <f t="shared" si="63"/>
        <v>120</v>
      </c>
      <c r="BD132" s="47"/>
      <c r="BE132" s="47">
        <f t="shared" si="64"/>
        <v>0</v>
      </c>
      <c r="BF132" s="47"/>
      <c r="BG132" s="56"/>
      <c r="BH132" s="47">
        <v>120</v>
      </c>
      <c r="BI132" s="51">
        <f t="shared" si="43"/>
        <v>0</v>
      </c>
      <c r="BJ132" s="51">
        <f t="shared" si="44"/>
        <v>0</v>
      </c>
      <c r="BK132" s="47"/>
      <c r="BL132" s="47"/>
      <c r="BM132" s="47"/>
      <c r="BN132" s="47"/>
      <c r="BO132" s="47"/>
      <c r="BP132" s="47"/>
      <c r="BQ132" s="47"/>
      <c r="BR132" s="47"/>
      <c r="BS132" s="53"/>
      <c r="BT132" s="47"/>
      <c r="BU132" s="47"/>
      <c r="BV132" s="47"/>
      <c r="BW132" s="47"/>
      <c r="BX132" s="47"/>
      <c r="BY132" s="47"/>
      <c r="BZ132" s="47"/>
      <c r="CA132" s="47"/>
      <c r="CB132" s="54">
        <f t="shared" si="67"/>
        <v>289.09659999999997</v>
      </c>
      <c r="CC132" s="47"/>
      <c r="CD132" s="57"/>
      <c r="CE132" s="47"/>
      <c r="CF132" s="47">
        <f t="shared" si="46"/>
        <v>289.09659999999997</v>
      </c>
    </row>
    <row r="133" spans="1:84" ht="14.25" customHeight="1">
      <c r="A133" s="47">
        <v>126</v>
      </c>
      <c r="B133" s="47" t="s">
        <v>129</v>
      </c>
      <c r="C133" s="75">
        <v>202011</v>
      </c>
      <c r="D133" s="60" t="s">
        <v>260</v>
      </c>
      <c r="E133" s="60" t="s">
        <v>150</v>
      </c>
      <c r="F133" s="50">
        <f t="shared" si="47"/>
        <v>9</v>
      </c>
      <c r="G133" s="50"/>
      <c r="H133" s="50"/>
      <c r="I133" s="50">
        <v>8</v>
      </c>
      <c r="J133" s="50">
        <v>1</v>
      </c>
      <c r="K133" s="50"/>
      <c r="L133" s="50"/>
      <c r="M133" s="50"/>
      <c r="N133" s="50">
        <v>7</v>
      </c>
      <c r="O133" s="50">
        <f t="shared" si="48"/>
        <v>16</v>
      </c>
      <c r="P133" s="51">
        <f t="shared" si="35"/>
        <v>159.45070000000001</v>
      </c>
      <c r="Q133" s="51">
        <f t="shared" si="36"/>
        <v>115.3507</v>
      </c>
      <c r="R133" s="47">
        <f t="shared" si="49"/>
        <v>32280</v>
      </c>
      <c r="S133" s="61"/>
      <c r="T133" s="61">
        <v>32280</v>
      </c>
      <c r="U133" s="47">
        <f t="shared" si="50"/>
        <v>38.735999999999997</v>
      </c>
      <c r="V133" s="51">
        <f t="shared" si="2"/>
        <v>18.0108</v>
      </c>
      <c r="W133" s="47">
        <f t="shared" si="51"/>
        <v>0</v>
      </c>
      <c r="X133" s="47"/>
      <c r="Y133" s="47"/>
      <c r="Z133" s="47"/>
      <c r="AA133" s="67">
        <v>18.0108</v>
      </c>
      <c r="AB133" s="51">
        <f t="shared" si="65"/>
        <v>9.7200000000000006</v>
      </c>
      <c r="AC133" s="47">
        <f t="shared" si="53"/>
        <v>0</v>
      </c>
      <c r="AD133" s="47"/>
      <c r="AE133" s="67">
        <f>ROUND(AG133*3/2*12/10000,4)</f>
        <v>9.7200000000000006</v>
      </c>
      <c r="AF133" s="47"/>
      <c r="AG133" s="64">
        <v>5400</v>
      </c>
      <c r="AH133" s="47"/>
      <c r="AI133" s="47">
        <f t="shared" si="55"/>
        <v>23.31</v>
      </c>
      <c r="AJ133" s="53">
        <f>ROUND((U133+W133+AC133+AE133*2/3+AF133+AI133)*0.16,4)</f>
        <v>10.9642</v>
      </c>
      <c r="AK133" s="53">
        <f t="shared" si="57"/>
        <v>109642</v>
      </c>
      <c r="AL133" s="47"/>
      <c r="AM133" s="47">
        <f t="shared" ref="AM133:AM148" si="80">ROUND(((U133+W133+AI133)*0.085+N133*0.0075+F133*0.0075),4)</f>
        <v>5.3939000000000004</v>
      </c>
      <c r="AN133" s="47">
        <f t="shared" ref="AN133:AN148" si="81">ROUND(((U133+W133+AI133)*0.08+N133*0.0075+F133*0.0075),4)</f>
        <v>5.0837000000000003</v>
      </c>
      <c r="AO133" s="47">
        <f t="shared" si="58"/>
        <v>50837</v>
      </c>
      <c r="AP133" s="47">
        <f t="shared" si="39"/>
        <v>0.31019999999999998</v>
      </c>
      <c r="AQ133" s="47">
        <f t="shared" si="59"/>
        <v>3101.9999999999995</v>
      </c>
      <c r="AR133" s="47"/>
      <c r="AS133" s="47">
        <f t="shared" si="75"/>
        <v>0.99270000000000003</v>
      </c>
      <c r="AT133" s="47">
        <f t="shared" si="76"/>
        <v>0.55840000000000001</v>
      </c>
      <c r="AU133" s="47">
        <f t="shared" si="61"/>
        <v>5584</v>
      </c>
      <c r="AV133" s="47">
        <f t="shared" si="71"/>
        <v>0.43430000000000002</v>
      </c>
      <c r="AW133" s="47">
        <f t="shared" si="62"/>
        <v>4343</v>
      </c>
      <c r="AX133" s="47">
        <f t="shared" ref="AX133:AX148" si="82">ROUND((U133+W133+AC133+AE133*2/3+AF133+AI133)*0.12,4)</f>
        <v>8.2231000000000005</v>
      </c>
      <c r="AY133" s="47"/>
      <c r="AZ133" s="47"/>
      <c r="BA133" s="54">
        <v>1E-4</v>
      </c>
      <c r="BB133" s="65" t="s">
        <v>260</v>
      </c>
      <c r="BC133" s="51">
        <f t="shared" si="63"/>
        <v>40.799999999999997</v>
      </c>
      <c r="BD133" s="47"/>
      <c r="BE133" s="47">
        <f t="shared" si="64"/>
        <v>0</v>
      </c>
      <c r="BF133" s="47"/>
      <c r="BG133" s="56">
        <v>40.799999999999997</v>
      </c>
      <c r="BH133" s="47"/>
      <c r="BI133" s="51">
        <f t="shared" si="43"/>
        <v>3.3</v>
      </c>
      <c r="BJ133" s="51">
        <f t="shared" si="44"/>
        <v>0</v>
      </c>
      <c r="BK133" s="47"/>
      <c r="BL133" s="47"/>
      <c r="BM133" s="47"/>
      <c r="BN133" s="47"/>
      <c r="BO133" s="47"/>
      <c r="BP133" s="47"/>
      <c r="BQ133" s="47"/>
      <c r="BR133" s="47"/>
      <c r="BS133" s="53">
        <v>3.3</v>
      </c>
      <c r="BT133" s="47"/>
      <c r="BU133" s="47"/>
      <c r="BV133" s="47"/>
      <c r="BW133" s="47"/>
      <c r="BX133" s="47">
        <v>20</v>
      </c>
      <c r="BY133" s="47"/>
      <c r="BZ133" s="47"/>
      <c r="CA133" s="47"/>
      <c r="CB133" s="54">
        <f t="shared" si="67"/>
        <v>179.45070000000001</v>
      </c>
      <c r="CC133" s="47"/>
      <c r="CD133" s="57"/>
      <c r="CE133" s="47"/>
      <c r="CF133" s="47">
        <f t="shared" si="46"/>
        <v>179.45070000000001</v>
      </c>
    </row>
    <row r="134" spans="1:84" ht="14.25" customHeight="1">
      <c r="A134" s="47">
        <v>127</v>
      </c>
      <c r="B134" s="47" t="s">
        <v>129</v>
      </c>
      <c r="C134" s="48">
        <v>202012</v>
      </c>
      <c r="D134" s="71" t="s">
        <v>261</v>
      </c>
      <c r="E134" s="60" t="s">
        <v>150</v>
      </c>
      <c r="F134" s="50">
        <f t="shared" si="47"/>
        <v>1057</v>
      </c>
      <c r="G134" s="50"/>
      <c r="H134" s="50"/>
      <c r="I134" s="50">
        <f>1041-1+10</f>
        <v>1050</v>
      </c>
      <c r="J134" s="50">
        <v>7</v>
      </c>
      <c r="K134" s="50"/>
      <c r="L134" s="50"/>
      <c r="M134" s="50"/>
      <c r="N134" s="50">
        <v>449</v>
      </c>
      <c r="O134" s="50">
        <f t="shared" si="48"/>
        <v>1506</v>
      </c>
      <c r="P134" s="51">
        <f t="shared" si="35"/>
        <v>15063.2726</v>
      </c>
      <c r="Q134" s="51">
        <f t="shared" si="36"/>
        <v>13256.4234</v>
      </c>
      <c r="R134" s="47">
        <f t="shared" si="49"/>
        <v>4325478</v>
      </c>
      <c r="S134" s="61"/>
      <c r="T134" s="61">
        <f>4299659+25819</f>
        <v>4325478</v>
      </c>
      <c r="U134" s="47">
        <f t="shared" si="50"/>
        <v>5190.5735999999997</v>
      </c>
      <c r="V134" s="51">
        <f t="shared" si="2"/>
        <v>941.62800000000004</v>
      </c>
      <c r="W134" s="47">
        <f t="shared" si="51"/>
        <v>0</v>
      </c>
      <c r="X134" s="67">
        <v>938.73599999999999</v>
      </c>
      <c r="Y134" s="47"/>
      <c r="Z134" s="47"/>
      <c r="AA134" s="47">
        <v>2.8919999999999999</v>
      </c>
      <c r="AB134" s="51">
        <f t="shared" si="65"/>
        <v>1141.56</v>
      </c>
      <c r="AC134" s="47">
        <f t="shared" si="53"/>
        <v>0</v>
      </c>
      <c r="AD134" s="47"/>
      <c r="AE134" s="67">
        <f>ROUND(AG134*3/2*12/10000,4)</f>
        <v>1141.56</v>
      </c>
      <c r="AF134" s="47"/>
      <c r="AG134" s="64">
        <v>634200</v>
      </c>
      <c r="AH134" s="47"/>
      <c r="AI134" s="47">
        <f t="shared" si="55"/>
        <v>2737.63</v>
      </c>
      <c r="AJ134" s="53">
        <f t="shared" ref="AJ134:AJ148" si="83">ROUND((U134+W134+AC134+AE134*2/3+AF134+AI134)*0.16,4)</f>
        <v>1390.279</v>
      </c>
      <c r="AK134" s="53">
        <f t="shared" si="57"/>
        <v>13902790</v>
      </c>
      <c r="AL134" s="47"/>
      <c r="AM134" s="47">
        <f t="shared" si="80"/>
        <v>685.19230000000005</v>
      </c>
      <c r="AN134" s="47">
        <f t="shared" si="81"/>
        <v>645.55129999999997</v>
      </c>
      <c r="AO134" s="47">
        <f t="shared" si="58"/>
        <v>6455513</v>
      </c>
      <c r="AP134" s="47">
        <f t="shared" si="39"/>
        <v>39.640999999999998</v>
      </c>
      <c r="AQ134" s="47">
        <f t="shared" si="59"/>
        <v>396410</v>
      </c>
      <c r="AR134" s="47"/>
      <c r="AS134" s="47">
        <f t="shared" si="75"/>
        <v>126.85129999999999</v>
      </c>
      <c r="AT134" s="47">
        <f t="shared" si="76"/>
        <v>71.353800000000007</v>
      </c>
      <c r="AU134" s="47">
        <f t="shared" si="61"/>
        <v>713538.00000000012</v>
      </c>
      <c r="AV134" s="47">
        <f t="shared" si="71"/>
        <v>55.497399999999999</v>
      </c>
      <c r="AW134" s="47">
        <f t="shared" si="62"/>
        <v>554974</v>
      </c>
      <c r="AX134" s="47">
        <f t="shared" si="82"/>
        <v>1042.7092</v>
      </c>
      <c r="AY134" s="47"/>
      <c r="AZ134" s="47"/>
      <c r="BA134" s="54">
        <v>1E-4</v>
      </c>
      <c r="BB134" s="74" t="s">
        <v>261</v>
      </c>
      <c r="BC134" s="51">
        <f t="shared" si="63"/>
        <v>1623.09</v>
      </c>
      <c r="BD134" s="47"/>
      <c r="BE134" s="47">
        <f t="shared" si="64"/>
        <v>0</v>
      </c>
      <c r="BF134" s="47"/>
      <c r="BG134" s="56">
        <v>1527.09</v>
      </c>
      <c r="BH134" s="47">
        <v>96</v>
      </c>
      <c r="BI134" s="51">
        <f t="shared" si="43"/>
        <v>183.75919999999999</v>
      </c>
      <c r="BJ134" s="51">
        <f t="shared" si="44"/>
        <v>0</v>
      </c>
      <c r="BK134" s="47"/>
      <c r="BL134" s="47"/>
      <c r="BM134" s="47"/>
      <c r="BN134" s="47"/>
      <c r="BO134" s="47"/>
      <c r="BP134" s="68">
        <v>27.2592</v>
      </c>
      <c r="BQ134" s="47"/>
      <c r="BR134" s="47"/>
      <c r="BS134" s="76">
        <v>156.5</v>
      </c>
      <c r="BT134" s="47"/>
      <c r="BU134" s="47"/>
      <c r="BV134" s="47"/>
      <c r="BW134" s="47"/>
      <c r="BX134" s="47"/>
      <c r="BY134" s="47"/>
      <c r="BZ134" s="47"/>
      <c r="CA134" s="47"/>
      <c r="CB134" s="54">
        <f t="shared" si="67"/>
        <v>15063.2726</v>
      </c>
      <c r="CC134" s="47"/>
      <c r="CD134" s="57"/>
      <c r="CE134" s="47"/>
      <c r="CF134" s="47">
        <f t="shared" si="46"/>
        <v>15063.2726</v>
      </c>
    </row>
    <row r="135" spans="1:84" ht="14.25" customHeight="1">
      <c r="A135" s="47">
        <v>128</v>
      </c>
      <c r="B135" s="47" t="s">
        <v>129</v>
      </c>
      <c r="C135" s="48">
        <v>202013</v>
      </c>
      <c r="D135" s="60" t="s">
        <v>262</v>
      </c>
      <c r="E135" s="60" t="s">
        <v>150</v>
      </c>
      <c r="F135" s="50">
        <f t="shared" si="47"/>
        <v>338</v>
      </c>
      <c r="G135" s="50"/>
      <c r="H135" s="50"/>
      <c r="I135" s="50">
        <f>320</f>
        <v>320</v>
      </c>
      <c r="J135" s="50">
        <v>16</v>
      </c>
      <c r="K135" s="50">
        <v>2</v>
      </c>
      <c r="L135" s="50"/>
      <c r="M135" s="50"/>
      <c r="N135" s="50">
        <v>213</v>
      </c>
      <c r="O135" s="50">
        <f t="shared" si="48"/>
        <v>551</v>
      </c>
      <c r="P135" s="51">
        <f t="shared" si="35"/>
        <v>5098.2582000000002</v>
      </c>
      <c r="Q135" s="51">
        <f t="shared" si="36"/>
        <v>4290.0962</v>
      </c>
      <c r="R135" s="47">
        <f t="shared" si="49"/>
        <v>1325467</v>
      </c>
      <c r="S135" s="61"/>
      <c r="T135" s="61">
        <f>1320487+4980</f>
        <v>1325467</v>
      </c>
      <c r="U135" s="47">
        <f t="shared" si="50"/>
        <v>1590.5604000000001</v>
      </c>
      <c r="V135" s="51">
        <f t="shared" si="2"/>
        <v>447.26400000000001</v>
      </c>
      <c r="W135" s="47">
        <f t="shared" si="51"/>
        <v>0</v>
      </c>
      <c r="X135" s="67">
        <v>294.74400000000003</v>
      </c>
      <c r="Y135" s="67">
        <v>152.52000000000001</v>
      </c>
      <c r="Z135" s="47"/>
      <c r="AA135" s="47"/>
      <c r="AB135" s="51">
        <f t="shared" si="65"/>
        <v>365.04</v>
      </c>
      <c r="AC135" s="47">
        <f t="shared" si="53"/>
        <v>0</v>
      </c>
      <c r="AD135" s="47"/>
      <c r="AE135" s="67">
        <f t="shared" ref="AE135:AE148" si="84">ROUND(AG135*3/2*12/10000,4)</f>
        <v>365.04</v>
      </c>
      <c r="AF135" s="47"/>
      <c r="AG135" s="64">
        <v>202800</v>
      </c>
      <c r="AH135" s="47"/>
      <c r="AI135" s="47">
        <f t="shared" si="55"/>
        <v>875.42</v>
      </c>
      <c r="AJ135" s="53">
        <f t="shared" si="83"/>
        <v>433.49450000000002</v>
      </c>
      <c r="AK135" s="53">
        <f t="shared" si="57"/>
        <v>4334945</v>
      </c>
      <c r="AL135" s="47"/>
      <c r="AM135" s="47">
        <f t="shared" si="80"/>
        <v>213.74080000000001</v>
      </c>
      <c r="AN135" s="47">
        <f t="shared" si="81"/>
        <v>201.4109</v>
      </c>
      <c r="AO135" s="47">
        <f t="shared" si="58"/>
        <v>2014109</v>
      </c>
      <c r="AP135" s="47">
        <f t="shared" si="39"/>
        <v>12.3299</v>
      </c>
      <c r="AQ135" s="47">
        <f t="shared" si="59"/>
        <v>123299</v>
      </c>
      <c r="AR135" s="47"/>
      <c r="AS135" s="47">
        <f t="shared" si="75"/>
        <v>39.4557</v>
      </c>
      <c r="AT135" s="47">
        <f t="shared" si="76"/>
        <v>22.1938</v>
      </c>
      <c r="AU135" s="47">
        <f t="shared" si="61"/>
        <v>221938</v>
      </c>
      <c r="AV135" s="47">
        <f t="shared" si="71"/>
        <v>17.261900000000001</v>
      </c>
      <c r="AW135" s="47">
        <f t="shared" si="62"/>
        <v>172619</v>
      </c>
      <c r="AX135" s="47">
        <f t="shared" si="82"/>
        <v>325.12079999999997</v>
      </c>
      <c r="AY135" s="47"/>
      <c r="AZ135" s="47"/>
      <c r="BA135" s="54">
        <v>1E-4</v>
      </c>
      <c r="BB135" s="65" t="s">
        <v>262</v>
      </c>
      <c r="BC135" s="51">
        <f t="shared" si="63"/>
        <v>369.64499999999998</v>
      </c>
      <c r="BD135" s="47"/>
      <c r="BE135" s="47">
        <f t="shared" si="64"/>
        <v>0</v>
      </c>
      <c r="BF135" s="47"/>
      <c r="BG135" s="56">
        <v>284.64499999999998</v>
      </c>
      <c r="BH135" s="47">
        <v>85</v>
      </c>
      <c r="BI135" s="51">
        <f t="shared" si="43"/>
        <v>438.517</v>
      </c>
      <c r="BJ135" s="51">
        <f t="shared" si="44"/>
        <v>0</v>
      </c>
      <c r="BK135" s="68"/>
      <c r="BL135" s="68"/>
      <c r="BM135" s="47"/>
      <c r="BN135" s="47"/>
      <c r="BO135" s="47"/>
      <c r="BP135" s="68">
        <v>40.692</v>
      </c>
      <c r="BQ135" s="47"/>
      <c r="BR135" s="47"/>
      <c r="BS135" s="76">
        <v>62.524999999999999</v>
      </c>
      <c r="BT135" s="47"/>
      <c r="BU135" s="47"/>
      <c r="BV135" s="47"/>
      <c r="BW135" s="76">
        <v>335.3</v>
      </c>
      <c r="BX135" s="47"/>
      <c r="BY135" s="47"/>
      <c r="BZ135" s="47"/>
      <c r="CA135" s="47"/>
      <c r="CB135" s="54">
        <f t="shared" si="67"/>
        <v>5098.2582000000002</v>
      </c>
      <c r="CC135" s="47"/>
      <c r="CD135" s="57"/>
      <c r="CE135" s="47"/>
      <c r="CF135" s="47">
        <f t="shared" ref="CF135:CF163" si="85">SUM(CB135:CE135)</f>
        <v>5098.2582000000002</v>
      </c>
    </row>
    <row r="136" spans="1:84" ht="14.25" customHeight="1">
      <c r="A136" s="47">
        <v>129</v>
      </c>
      <c r="B136" s="47" t="s">
        <v>129</v>
      </c>
      <c r="C136" s="48">
        <v>202014</v>
      </c>
      <c r="D136" s="60" t="s">
        <v>263</v>
      </c>
      <c r="E136" s="60" t="s">
        <v>150</v>
      </c>
      <c r="F136" s="50">
        <f t="shared" si="47"/>
        <v>294</v>
      </c>
      <c r="G136" s="50"/>
      <c r="H136" s="50"/>
      <c r="I136" s="50">
        <v>283</v>
      </c>
      <c r="J136" s="50">
        <v>9</v>
      </c>
      <c r="K136" s="50">
        <v>2</v>
      </c>
      <c r="L136" s="50"/>
      <c r="M136" s="50"/>
      <c r="N136" s="50">
        <v>198</v>
      </c>
      <c r="O136" s="50">
        <f t="shared" si="48"/>
        <v>492</v>
      </c>
      <c r="P136" s="51">
        <f t="shared" ref="P136:P159" si="86">Q136+BC136+BI136</f>
        <v>4432.4479000000001</v>
      </c>
      <c r="Q136" s="51">
        <f t="shared" ref="Q136:Q159" si="87">U136+V136+AB136+AH136+AI136+AJ136+AL136+AM136+AR136+AS136+AX136+AY136+AZ136</f>
        <v>3839.2719000000002</v>
      </c>
      <c r="R136" s="47">
        <f t="shared" si="49"/>
        <v>1214057</v>
      </c>
      <c r="S136" s="61"/>
      <c r="T136" s="61">
        <v>1214057</v>
      </c>
      <c r="U136" s="47">
        <f t="shared" si="50"/>
        <v>1456.8684000000001</v>
      </c>
      <c r="V136" s="51">
        <f t="shared" si="2"/>
        <v>395.28000000000003</v>
      </c>
      <c r="W136" s="47">
        <f t="shared" si="51"/>
        <v>0</v>
      </c>
      <c r="X136" s="67">
        <v>259.92</v>
      </c>
      <c r="Y136" s="47">
        <v>135.36000000000001</v>
      </c>
      <c r="Z136" s="56"/>
      <c r="AA136" s="47"/>
      <c r="AB136" s="51">
        <f t="shared" si="65"/>
        <v>317.52</v>
      </c>
      <c r="AC136" s="47">
        <f t="shared" si="53"/>
        <v>0</v>
      </c>
      <c r="AD136" s="47"/>
      <c r="AE136" s="67">
        <f t="shared" si="84"/>
        <v>317.52</v>
      </c>
      <c r="AF136" s="47"/>
      <c r="AG136" s="64">
        <v>176400</v>
      </c>
      <c r="AH136" s="47"/>
      <c r="AI136" s="47">
        <f t="shared" si="55"/>
        <v>761.46</v>
      </c>
      <c r="AJ136" s="53">
        <f t="shared" si="83"/>
        <v>388.80130000000003</v>
      </c>
      <c r="AK136" s="53">
        <f t="shared" si="57"/>
        <v>3888013.0000000005</v>
      </c>
      <c r="AL136" s="47"/>
      <c r="AM136" s="47">
        <f t="shared" si="80"/>
        <v>192.24789999999999</v>
      </c>
      <c r="AN136" s="47">
        <f t="shared" si="81"/>
        <v>181.15629999999999</v>
      </c>
      <c r="AO136" s="47">
        <f t="shared" si="58"/>
        <v>1811562.9999999998</v>
      </c>
      <c r="AP136" s="47">
        <f t="shared" ref="AP136:AP159" si="88">ROUND(((U136+W136+AI136)*0.005),4)</f>
        <v>11.0916</v>
      </c>
      <c r="AQ136" s="47">
        <f t="shared" si="59"/>
        <v>110916</v>
      </c>
      <c r="AR136" s="47"/>
      <c r="AS136" s="47">
        <f t="shared" si="75"/>
        <v>35.493299999999998</v>
      </c>
      <c r="AT136" s="47">
        <f t="shared" si="76"/>
        <v>19.965</v>
      </c>
      <c r="AU136" s="47">
        <f t="shared" si="61"/>
        <v>199650</v>
      </c>
      <c r="AV136" s="47">
        <f t="shared" si="71"/>
        <v>15.5283</v>
      </c>
      <c r="AW136" s="47">
        <f t="shared" si="62"/>
        <v>155283</v>
      </c>
      <c r="AX136" s="47">
        <f t="shared" si="82"/>
        <v>291.601</v>
      </c>
      <c r="AY136" s="47"/>
      <c r="AZ136" s="47"/>
      <c r="BA136" s="54">
        <v>1E-4</v>
      </c>
      <c r="BB136" s="65" t="s">
        <v>263</v>
      </c>
      <c r="BC136" s="51">
        <f t="shared" si="63"/>
        <v>275.05</v>
      </c>
      <c r="BD136" s="47"/>
      <c r="BE136" s="47">
        <f t="shared" si="64"/>
        <v>0</v>
      </c>
      <c r="BF136" s="47"/>
      <c r="BG136" s="56">
        <v>230.05</v>
      </c>
      <c r="BH136" s="47">
        <v>45</v>
      </c>
      <c r="BI136" s="51">
        <f t="shared" ref="BI136:BI159" si="89">BJ136+BN136+BO136+BP136+BQ136+BS136+BT136+BU136+BV136+BW136+BR136</f>
        <v>318.12599999999998</v>
      </c>
      <c r="BJ136" s="51">
        <f t="shared" ref="BJ136:BJ160" si="90">BL136+BM136+BK136</f>
        <v>0</v>
      </c>
      <c r="BK136" s="47"/>
      <c r="BL136" s="47"/>
      <c r="BM136" s="68"/>
      <c r="BN136" s="68"/>
      <c r="BO136" s="47"/>
      <c r="BP136" s="68">
        <v>13.176</v>
      </c>
      <c r="BQ136" s="47"/>
      <c r="BR136" s="47"/>
      <c r="BS136" s="76">
        <v>44.75</v>
      </c>
      <c r="BT136" s="47"/>
      <c r="BU136" s="47"/>
      <c r="BV136" s="47"/>
      <c r="BW136" s="76">
        <v>260.2</v>
      </c>
      <c r="BX136" s="47"/>
      <c r="BY136" s="47"/>
      <c r="BZ136" s="47"/>
      <c r="CA136" s="47"/>
      <c r="CB136" s="54">
        <f t="shared" ref="CB136:CB163" si="91">P136+BX136+BZ136+BY136+CA136</f>
        <v>4432.4479000000001</v>
      </c>
      <c r="CC136" s="47"/>
      <c r="CD136" s="57"/>
      <c r="CE136" s="47"/>
      <c r="CF136" s="47">
        <f t="shared" si="85"/>
        <v>4432.4479000000001</v>
      </c>
    </row>
    <row r="137" spans="1:84" ht="14.25" customHeight="1">
      <c r="A137" s="47">
        <v>130</v>
      </c>
      <c r="B137" s="47" t="s">
        <v>129</v>
      </c>
      <c r="C137" s="48">
        <v>202015</v>
      </c>
      <c r="D137" s="60" t="s">
        <v>264</v>
      </c>
      <c r="E137" s="60" t="s">
        <v>150</v>
      </c>
      <c r="F137" s="50">
        <f t="shared" ref="F137:F163" si="92">SUM(G137:K137)</f>
        <v>416</v>
      </c>
      <c r="G137" s="50"/>
      <c r="H137" s="50"/>
      <c r="I137" s="50">
        <f>385+13</f>
        <v>398</v>
      </c>
      <c r="J137" s="50">
        <v>7</v>
      </c>
      <c r="K137" s="50">
        <v>11</v>
      </c>
      <c r="L137" s="50"/>
      <c r="M137" s="50">
        <v>1</v>
      </c>
      <c r="N137" s="50">
        <v>225</v>
      </c>
      <c r="O137" s="50">
        <f t="shared" ref="O137:O163" si="93">F137+L137+M137+N137</f>
        <v>642</v>
      </c>
      <c r="P137" s="51">
        <f t="shared" si="86"/>
        <v>6375.3327000000008</v>
      </c>
      <c r="Q137" s="51">
        <f t="shared" si="87"/>
        <v>5041.1467000000002</v>
      </c>
      <c r="R137" s="47">
        <f t="shared" ref="R137:R163" si="94">S137+T137</f>
        <v>1496450</v>
      </c>
      <c r="S137" s="61"/>
      <c r="T137" s="61">
        <f>1470975+25475</f>
        <v>1496450</v>
      </c>
      <c r="U137" s="47">
        <f t="shared" ref="U137:U162" si="95">ROUND(R137*12/10000,5)</f>
        <v>1795.74</v>
      </c>
      <c r="V137" s="51">
        <f t="shared" si="2"/>
        <v>535.33199999999999</v>
      </c>
      <c r="W137" s="47">
        <f t="shared" ref="W137:W162" si="96">ROUND((G137+H137)*2.25,4)</f>
        <v>0</v>
      </c>
      <c r="X137" s="67">
        <v>342.43200000000002</v>
      </c>
      <c r="Y137" s="47">
        <v>192.9</v>
      </c>
      <c r="Z137" s="56"/>
      <c r="AA137" s="47"/>
      <c r="AB137" s="51">
        <f t="shared" si="65"/>
        <v>449.28</v>
      </c>
      <c r="AC137" s="47">
        <f t="shared" ref="AC137:AC163" si="97">ROUND(S137/10000,4)</f>
        <v>0</v>
      </c>
      <c r="AD137" s="47"/>
      <c r="AE137" s="67">
        <f t="shared" si="84"/>
        <v>449.28</v>
      </c>
      <c r="AF137" s="47"/>
      <c r="AG137" s="64">
        <v>249600</v>
      </c>
      <c r="AH137" s="47"/>
      <c r="AI137" s="47">
        <f t="shared" ref="AI137:AI162" si="98">ROUND(2.59*(I137+J137+K137),4)</f>
        <v>1077.44</v>
      </c>
      <c r="AJ137" s="53">
        <f t="shared" si="83"/>
        <v>507.63200000000001</v>
      </c>
      <c r="AK137" s="53">
        <f t="shared" ref="AK137:AK159" si="99">AJ137*10000</f>
        <v>5076320</v>
      </c>
      <c r="AL137" s="47"/>
      <c r="AM137" s="47">
        <f t="shared" si="80"/>
        <v>249.02780000000001</v>
      </c>
      <c r="AN137" s="47">
        <f t="shared" si="81"/>
        <v>234.6619</v>
      </c>
      <c r="AO137" s="47">
        <f t="shared" ref="AO137:AO159" si="100">AN137*10000</f>
        <v>2346619</v>
      </c>
      <c r="AP137" s="47">
        <f t="shared" si="88"/>
        <v>14.3659</v>
      </c>
      <c r="AQ137" s="47">
        <f t="shared" ref="AQ137:AQ159" si="101">AP137*10000</f>
        <v>143659</v>
      </c>
      <c r="AR137" s="47"/>
      <c r="AS137" s="47">
        <f t="shared" si="75"/>
        <v>45.9709</v>
      </c>
      <c r="AT137" s="47">
        <f t="shared" si="76"/>
        <v>25.858599999999999</v>
      </c>
      <c r="AU137" s="47">
        <f t="shared" ref="AU137:AU159" si="102">AT137*10000</f>
        <v>258586</v>
      </c>
      <c r="AV137" s="47">
        <f t="shared" si="71"/>
        <v>20.112300000000001</v>
      </c>
      <c r="AW137" s="47">
        <f t="shared" ref="AW137:AW159" si="103">AV137*10000</f>
        <v>201123</v>
      </c>
      <c r="AX137" s="47">
        <f t="shared" si="82"/>
        <v>380.72399999999999</v>
      </c>
      <c r="AY137" s="47"/>
      <c r="AZ137" s="47"/>
      <c r="BA137" s="54">
        <v>1E-4</v>
      </c>
      <c r="BB137" s="65" t="s">
        <v>264</v>
      </c>
      <c r="BC137" s="51">
        <f t="shared" ref="BC137:BC163" si="104">BD137+BE137+BG137+BH137</f>
        <v>576.05500000000006</v>
      </c>
      <c r="BD137" s="47"/>
      <c r="BE137" s="47">
        <f t="shared" ref="BE137:BE162" si="105">ROUND(BF137*12/10000,4)</f>
        <v>0</v>
      </c>
      <c r="BF137" s="47"/>
      <c r="BG137" s="56">
        <v>496.05500000000001</v>
      </c>
      <c r="BH137" s="47">
        <v>80</v>
      </c>
      <c r="BI137" s="51">
        <f t="shared" si="89"/>
        <v>758.13099999999997</v>
      </c>
      <c r="BJ137" s="51">
        <f t="shared" si="90"/>
        <v>4.3860000000000001</v>
      </c>
      <c r="BK137" s="47"/>
      <c r="BL137" s="47">
        <v>4.3860000000000001</v>
      </c>
      <c r="BM137" s="47"/>
      <c r="BN137" s="47"/>
      <c r="BO137" s="47"/>
      <c r="BP137" s="68">
        <v>26.47</v>
      </c>
      <c r="BQ137" s="47"/>
      <c r="BR137" s="47"/>
      <c r="BS137" s="76">
        <v>148.97499999999999</v>
      </c>
      <c r="BT137" s="47"/>
      <c r="BU137" s="47"/>
      <c r="BV137" s="47"/>
      <c r="BW137" s="76">
        <v>578.29999999999995</v>
      </c>
      <c r="BX137" s="47"/>
      <c r="BY137" s="47"/>
      <c r="BZ137" s="47"/>
      <c r="CA137" s="47"/>
      <c r="CB137" s="54">
        <f t="shared" si="91"/>
        <v>6375.3327000000008</v>
      </c>
      <c r="CC137" s="47"/>
      <c r="CD137" s="57"/>
      <c r="CE137" s="47"/>
      <c r="CF137" s="47">
        <f t="shared" si="85"/>
        <v>6375.3327000000008</v>
      </c>
    </row>
    <row r="138" spans="1:84" ht="14.25" customHeight="1">
      <c r="A138" s="47">
        <v>131</v>
      </c>
      <c r="B138" s="47" t="s">
        <v>129</v>
      </c>
      <c r="C138" s="48">
        <v>202016</v>
      </c>
      <c r="D138" s="60" t="s">
        <v>265</v>
      </c>
      <c r="E138" s="60" t="s">
        <v>150</v>
      </c>
      <c r="F138" s="50">
        <f t="shared" si="92"/>
        <v>147</v>
      </c>
      <c r="G138" s="50"/>
      <c r="H138" s="50"/>
      <c r="I138" s="50">
        <f>121+14</f>
        <v>135</v>
      </c>
      <c r="J138" s="50">
        <v>3</v>
      </c>
      <c r="K138" s="50">
        <v>9</v>
      </c>
      <c r="L138" s="50"/>
      <c r="M138" s="50"/>
      <c r="N138" s="50">
        <v>84</v>
      </c>
      <c r="O138" s="50">
        <f t="shared" si="93"/>
        <v>231</v>
      </c>
      <c r="P138" s="51">
        <f t="shared" si="86"/>
        <v>2080.7352000000001</v>
      </c>
      <c r="Q138" s="51">
        <f t="shared" si="87"/>
        <v>1695.0352</v>
      </c>
      <c r="R138" s="47">
        <f t="shared" si="94"/>
        <v>486758</v>
      </c>
      <c r="S138" s="61"/>
      <c r="T138" s="61">
        <f>459460+27298</f>
        <v>486758</v>
      </c>
      <c r="U138" s="47">
        <f t="shared" si="95"/>
        <v>584.1096</v>
      </c>
      <c r="V138" s="51">
        <f t="shared" si="2"/>
        <v>172.464</v>
      </c>
      <c r="W138" s="47">
        <f t="shared" si="96"/>
        <v>0</v>
      </c>
      <c r="X138" s="67">
        <v>114.624</v>
      </c>
      <c r="Y138" s="47">
        <v>57.84</v>
      </c>
      <c r="Z138" s="56"/>
      <c r="AA138" s="47"/>
      <c r="AB138" s="51">
        <f t="shared" si="65"/>
        <v>158.76</v>
      </c>
      <c r="AC138" s="47">
        <f t="shared" si="97"/>
        <v>0</v>
      </c>
      <c r="AD138" s="47"/>
      <c r="AE138" s="67">
        <f t="shared" si="84"/>
        <v>158.76</v>
      </c>
      <c r="AF138" s="47"/>
      <c r="AG138" s="64">
        <v>88200</v>
      </c>
      <c r="AH138" s="47"/>
      <c r="AI138" s="47">
        <f t="shared" si="98"/>
        <v>380.73</v>
      </c>
      <c r="AJ138" s="53">
        <f t="shared" si="83"/>
        <v>171.30869999999999</v>
      </c>
      <c r="AK138" s="53">
        <f t="shared" si="99"/>
        <v>1713086.9999999998</v>
      </c>
      <c r="AL138" s="47"/>
      <c r="AM138" s="47">
        <f t="shared" si="80"/>
        <v>83.743899999999996</v>
      </c>
      <c r="AN138" s="47">
        <f t="shared" si="81"/>
        <v>78.919700000000006</v>
      </c>
      <c r="AO138" s="47">
        <f t="shared" si="100"/>
        <v>789197.00000000012</v>
      </c>
      <c r="AP138" s="47">
        <f t="shared" si="88"/>
        <v>4.8242000000000003</v>
      </c>
      <c r="AQ138" s="47">
        <f t="shared" si="101"/>
        <v>48242</v>
      </c>
      <c r="AR138" s="47"/>
      <c r="AS138" s="47">
        <f t="shared" si="75"/>
        <v>15.4374</v>
      </c>
      <c r="AT138" s="47">
        <f t="shared" si="76"/>
        <v>8.6836000000000002</v>
      </c>
      <c r="AU138" s="47">
        <f t="shared" si="102"/>
        <v>86836</v>
      </c>
      <c r="AV138" s="47">
        <f t="shared" si="71"/>
        <v>6.7538999999999998</v>
      </c>
      <c r="AW138" s="47">
        <f t="shared" si="103"/>
        <v>67539</v>
      </c>
      <c r="AX138" s="47">
        <f t="shared" si="82"/>
        <v>128.48159999999999</v>
      </c>
      <c r="AY138" s="47"/>
      <c r="AZ138" s="47"/>
      <c r="BA138" s="54">
        <v>1E-4</v>
      </c>
      <c r="BB138" s="65" t="s">
        <v>265</v>
      </c>
      <c r="BC138" s="51">
        <f t="shared" si="104"/>
        <v>206.1</v>
      </c>
      <c r="BD138" s="47"/>
      <c r="BE138" s="47">
        <f t="shared" si="105"/>
        <v>0</v>
      </c>
      <c r="BF138" s="47"/>
      <c r="BG138" s="56">
        <v>128.1</v>
      </c>
      <c r="BH138" s="47">
        <v>78</v>
      </c>
      <c r="BI138" s="51">
        <f t="shared" si="89"/>
        <v>179.60000000000002</v>
      </c>
      <c r="BJ138" s="51">
        <f t="shared" si="90"/>
        <v>0</v>
      </c>
      <c r="BK138" s="68"/>
      <c r="BL138" s="68"/>
      <c r="BM138" s="47"/>
      <c r="BN138" s="47"/>
      <c r="BO138" s="47"/>
      <c r="BP138" s="68">
        <v>11.52</v>
      </c>
      <c r="BQ138" s="47"/>
      <c r="BR138" s="47"/>
      <c r="BS138" s="76">
        <v>34.68</v>
      </c>
      <c r="BT138" s="47"/>
      <c r="BU138" s="47"/>
      <c r="BV138" s="47"/>
      <c r="BW138" s="76">
        <v>133.4</v>
      </c>
      <c r="BX138" s="47"/>
      <c r="BY138" s="47"/>
      <c r="BZ138" s="47"/>
      <c r="CA138" s="47"/>
      <c r="CB138" s="54">
        <f t="shared" si="91"/>
        <v>2080.7352000000001</v>
      </c>
      <c r="CC138" s="47"/>
      <c r="CD138" s="57"/>
      <c r="CE138" s="47"/>
      <c r="CF138" s="47">
        <f t="shared" si="85"/>
        <v>2080.7352000000001</v>
      </c>
    </row>
    <row r="139" spans="1:84" ht="14.25" customHeight="1">
      <c r="A139" s="47">
        <v>132</v>
      </c>
      <c r="B139" s="47" t="s">
        <v>129</v>
      </c>
      <c r="C139" s="48">
        <v>202017</v>
      </c>
      <c r="D139" s="60" t="s">
        <v>266</v>
      </c>
      <c r="E139" s="60" t="s">
        <v>150</v>
      </c>
      <c r="F139" s="50">
        <f t="shared" si="92"/>
        <v>169</v>
      </c>
      <c r="G139" s="50"/>
      <c r="H139" s="50"/>
      <c r="I139" s="50">
        <f>151+8</f>
        <v>159</v>
      </c>
      <c r="J139" s="50">
        <v>2</v>
      </c>
      <c r="K139" s="50">
        <v>8</v>
      </c>
      <c r="L139" s="50"/>
      <c r="M139" s="50"/>
      <c r="N139" s="50">
        <v>84</v>
      </c>
      <c r="O139" s="50">
        <f t="shared" si="93"/>
        <v>253</v>
      </c>
      <c r="P139" s="51">
        <f t="shared" si="86"/>
        <v>2590.5945999999999</v>
      </c>
      <c r="Q139" s="51">
        <f t="shared" si="87"/>
        <v>2022.0589999999997</v>
      </c>
      <c r="R139" s="47">
        <f t="shared" si="94"/>
        <v>594645</v>
      </c>
      <c r="S139" s="61"/>
      <c r="T139" s="61">
        <f>579775+14870</f>
        <v>594645</v>
      </c>
      <c r="U139" s="47">
        <f t="shared" si="95"/>
        <v>713.57399999999996</v>
      </c>
      <c r="V139" s="51">
        <f t="shared" si="2"/>
        <v>213.64800000000002</v>
      </c>
      <c r="W139" s="47">
        <f t="shared" si="96"/>
        <v>0</v>
      </c>
      <c r="X139" s="67">
        <v>139.608</v>
      </c>
      <c r="Y139" s="47">
        <v>73.680000000000007</v>
      </c>
      <c r="Z139" s="56"/>
      <c r="AA139" s="47">
        <v>0.36</v>
      </c>
      <c r="AB139" s="51">
        <f t="shared" si="65"/>
        <v>182.52</v>
      </c>
      <c r="AC139" s="47">
        <f t="shared" si="97"/>
        <v>0</v>
      </c>
      <c r="AD139" s="47"/>
      <c r="AE139" s="67">
        <f t="shared" si="84"/>
        <v>182.52</v>
      </c>
      <c r="AF139" s="47"/>
      <c r="AG139" s="64">
        <v>101400</v>
      </c>
      <c r="AH139" s="47"/>
      <c r="AI139" s="47">
        <f t="shared" si="98"/>
        <v>437.71</v>
      </c>
      <c r="AJ139" s="53">
        <f t="shared" si="83"/>
        <v>203.67420000000001</v>
      </c>
      <c r="AK139" s="53">
        <f t="shared" si="99"/>
        <v>2036742.0000000002</v>
      </c>
      <c r="AL139" s="47"/>
      <c r="AM139" s="47">
        <f t="shared" si="80"/>
        <v>99.756600000000006</v>
      </c>
      <c r="AN139" s="47">
        <f t="shared" si="81"/>
        <v>94.000200000000007</v>
      </c>
      <c r="AO139" s="47">
        <f t="shared" si="100"/>
        <v>940002.00000000012</v>
      </c>
      <c r="AP139" s="47">
        <f t="shared" si="88"/>
        <v>5.7564000000000002</v>
      </c>
      <c r="AQ139" s="47">
        <f t="shared" si="101"/>
        <v>57564</v>
      </c>
      <c r="AR139" s="47"/>
      <c r="AS139" s="47">
        <f t="shared" si="75"/>
        <v>18.420500000000001</v>
      </c>
      <c r="AT139" s="47">
        <f t="shared" si="76"/>
        <v>10.361599999999999</v>
      </c>
      <c r="AU139" s="47">
        <f t="shared" si="102"/>
        <v>103615.99999999999</v>
      </c>
      <c r="AV139" s="47">
        <f t="shared" si="71"/>
        <v>8.0589999999999993</v>
      </c>
      <c r="AW139" s="47">
        <f t="shared" si="103"/>
        <v>80590</v>
      </c>
      <c r="AX139" s="47">
        <f t="shared" si="82"/>
        <v>152.75569999999999</v>
      </c>
      <c r="AY139" s="47"/>
      <c r="AZ139" s="47"/>
      <c r="BA139" s="54">
        <v>1E-4</v>
      </c>
      <c r="BB139" s="65" t="s">
        <v>266</v>
      </c>
      <c r="BC139" s="51">
        <f t="shared" si="104"/>
        <v>276.21500000000003</v>
      </c>
      <c r="BD139" s="47"/>
      <c r="BE139" s="47">
        <f t="shared" si="105"/>
        <v>0</v>
      </c>
      <c r="BF139" s="47"/>
      <c r="BG139" s="56">
        <v>213.215</v>
      </c>
      <c r="BH139" s="47">
        <v>63</v>
      </c>
      <c r="BI139" s="51">
        <f t="shared" si="89"/>
        <v>292.32060000000001</v>
      </c>
      <c r="BJ139" s="51">
        <f t="shared" si="90"/>
        <v>0</v>
      </c>
      <c r="BK139" s="47"/>
      <c r="BL139" s="47"/>
      <c r="BM139" s="47"/>
      <c r="BN139" s="47"/>
      <c r="BO139" s="47"/>
      <c r="BP139" s="68">
        <v>8.4155999999999995</v>
      </c>
      <c r="BQ139" s="47"/>
      <c r="BR139" s="47"/>
      <c r="BS139" s="76">
        <v>66.004999999999995</v>
      </c>
      <c r="BT139" s="47"/>
      <c r="BU139" s="47"/>
      <c r="BV139" s="47"/>
      <c r="BW139" s="76">
        <v>217.9</v>
      </c>
      <c r="BX139" s="47"/>
      <c r="BY139" s="47"/>
      <c r="BZ139" s="47"/>
      <c r="CA139" s="47"/>
      <c r="CB139" s="54">
        <f t="shared" si="91"/>
        <v>2590.5945999999999</v>
      </c>
      <c r="CC139" s="47"/>
      <c r="CD139" s="57"/>
      <c r="CE139" s="47"/>
      <c r="CF139" s="47">
        <f t="shared" si="85"/>
        <v>2590.5945999999999</v>
      </c>
    </row>
    <row r="140" spans="1:84" ht="14.25" customHeight="1">
      <c r="A140" s="47">
        <v>133</v>
      </c>
      <c r="B140" s="47" t="s">
        <v>129</v>
      </c>
      <c r="C140" s="48">
        <v>202018</v>
      </c>
      <c r="D140" s="60" t="s">
        <v>267</v>
      </c>
      <c r="E140" s="60" t="s">
        <v>150</v>
      </c>
      <c r="F140" s="50">
        <f t="shared" si="92"/>
        <v>244</v>
      </c>
      <c r="G140" s="50"/>
      <c r="H140" s="50"/>
      <c r="I140" s="50">
        <f>203+17</f>
        <v>220</v>
      </c>
      <c r="J140" s="50">
        <v>9</v>
      </c>
      <c r="K140" s="50">
        <v>15</v>
      </c>
      <c r="L140" s="50"/>
      <c r="M140" s="50"/>
      <c r="N140" s="50">
        <v>144</v>
      </c>
      <c r="O140" s="50">
        <f t="shared" si="93"/>
        <v>388</v>
      </c>
      <c r="P140" s="51">
        <f t="shared" si="86"/>
        <v>3476.8319000000001</v>
      </c>
      <c r="Q140" s="51">
        <f t="shared" si="87"/>
        <v>2899.9019000000003</v>
      </c>
      <c r="R140" s="47">
        <f t="shared" si="94"/>
        <v>842250</v>
      </c>
      <c r="S140" s="61"/>
      <c r="T140" s="61">
        <f>806927+35323</f>
        <v>842250</v>
      </c>
      <c r="U140" s="47">
        <f t="shared" si="95"/>
        <v>1010.7</v>
      </c>
      <c r="V140" s="51">
        <f t="shared" si="2"/>
        <v>315.76800000000003</v>
      </c>
      <c r="W140" s="47">
        <f t="shared" si="96"/>
        <v>0</v>
      </c>
      <c r="X140" s="67">
        <v>198.648</v>
      </c>
      <c r="Y140" s="47">
        <v>117.12</v>
      </c>
      <c r="Z140" s="56"/>
      <c r="AA140" s="47"/>
      <c r="AB140" s="51">
        <f t="shared" si="65"/>
        <v>263.52</v>
      </c>
      <c r="AC140" s="47">
        <f t="shared" si="97"/>
        <v>0</v>
      </c>
      <c r="AD140" s="47"/>
      <c r="AE140" s="67">
        <f t="shared" si="84"/>
        <v>263.52</v>
      </c>
      <c r="AF140" s="47"/>
      <c r="AG140" s="64">
        <v>146400</v>
      </c>
      <c r="AH140" s="47"/>
      <c r="AI140" s="47">
        <f t="shared" si="98"/>
        <v>631.96</v>
      </c>
      <c r="AJ140" s="53">
        <f t="shared" si="83"/>
        <v>290.93439999999998</v>
      </c>
      <c r="AK140" s="53">
        <f t="shared" si="99"/>
        <v>2909344</v>
      </c>
      <c r="AL140" s="47"/>
      <c r="AM140" s="47">
        <f t="shared" si="80"/>
        <v>142.5361</v>
      </c>
      <c r="AN140" s="47">
        <f t="shared" si="81"/>
        <v>134.3228</v>
      </c>
      <c r="AO140" s="47">
        <f t="shared" si="100"/>
        <v>1343228</v>
      </c>
      <c r="AP140" s="47">
        <f t="shared" si="88"/>
        <v>8.2133000000000003</v>
      </c>
      <c r="AQ140" s="47">
        <f t="shared" si="101"/>
        <v>82133</v>
      </c>
      <c r="AR140" s="47"/>
      <c r="AS140" s="47">
        <f t="shared" si="75"/>
        <v>26.282599999999999</v>
      </c>
      <c r="AT140" s="47">
        <f t="shared" si="76"/>
        <v>14.783899999999999</v>
      </c>
      <c r="AU140" s="47">
        <f t="shared" si="102"/>
        <v>147839</v>
      </c>
      <c r="AV140" s="47">
        <f t="shared" si="71"/>
        <v>11.4986</v>
      </c>
      <c r="AW140" s="47">
        <f t="shared" si="103"/>
        <v>114986</v>
      </c>
      <c r="AX140" s="47">
        <f t="shared" si="82"/>
        <v>218.20079999999999</v>
      </c>
      <c r="AY140" s="47"/>
      <c r="AZ140" s="47"/>
      <c r="BA140" s="54">
        <v>1E-4</v>
      </c>
      <c r="BB140" s="65" t="s">
        <v>267</v>
      </c>
      <c r="BC140" s="51">
        <f t="shared" si="104"/>
        <v>250.60499999999999</v>
      </c>
      <c r="BD140" s="47"/>
      <c r="BE140" s="47">
        <f t="shared" si="105"/>
        <v>0</v>
      </c>
      <c r="BF140" s="47"/>
      <c r="BG140" s="56">
        <v>232.60499999999999</v>
      </c>
      <c r="BH140" s="47">
        <v>18</v>
      </c>
      <c r="BI140" s="51">
        <f t="shared" si="89"/>
        <v>326.32499999999999</v>
      </c>
      <c r="BJ140" s="51">
        <f t="shared" si="90"/>
        <v>0</v>
      </c>
      <c r="BK140" s="47"/>
      <c r="BL140" s="47"/>
      <c r="BM140" s="47"/>
      <c r="BN140" s="47"/>
      <c r="BO140" s="47"/>
      <c r="BP140" s="68">
        <v>20.05</v>
      </c>
      <c r="BQ140" s="47"/>
      <c r="BR140" s="47"/>
      <c r="BS140" s="76">
        <v>57.575000000000003</v>
      </c>
      <c r="BT140" s="47"/>
      <c r="BU140" s="47"/>
      <c r="BV140" s="47"/>
      <c r="BW140" s="76">
        <v>248.7</v>
      </c>
      <c r="BX140" s="47"/>
      <c r="BY140" s="47"/>
      <c r="BZ140" s="47"/>
      <c r="CA140" s="47"/>
      <c r="CB140" s="54">
        <f t="shared" si="91"/>
        <v>3476.8319000000001</v>
      </c>
      <c r="CC140" s="47"/>
      <c r="CD140" s="57"/>
      <c r="CE140" s="47"/>
      <c r="CF140" s="47">
        <f t="shared" si="85"/>
        <v>3476.8319000000001</v>
      </c>
    </row>
    <row r="141" spans="1:84" ht="14.25" customHeight="1">
      <c r="A141" s="47">
        <v>134</v>
      </c>
      <c r="B141" s="47" t="s">
        <v>129</v>
      </c>
      <c r="C141" s="48">
        <v>202019</v>
      </c>
      <c r="D141" s="60" t="s">
        <v>268</v>
      </c>
      <c r="E141" s="60" t="s">
        <v>150</v>
      </c>
      <c r="F141" s="50">
        <f t="shared" si="92"/>
        <v>248</v>
      </c>
      <c r="G141" s="50"/>
      <c r="H141" s="50"/>
      <c r="I141" s="50">
        <f>216+19</f>
        <v>235</v>
      </c>
      <c r="J141" s="50">
        <v>6</v>
      </c>
      <c r="K141" s="50">
        <f>3+4</f>
        <v>7</v>
      </c>
      <c r="L141" s="50"/>
      <c r="M141" s="50"/>
      <c r="N141" s="50">
        <v>161</v>
      </c>
      <c r="O141" s="50">
        <f t="shared" si="93"/>
        <v>409</v>
      </c>
      <c r="P141" s="51">
        <f t="shared" si="86"/>
        <v>3650.7031999999995</v>
      </c>
      <c r="Q141" s="51">
        <f t="shared" si="87"/>
        <v>3020.5300999999995</v>
      </c>
      <c r="R141" s="47">
        <f t="shared" si="94"/>
        <v>907795</v>
      </c>
      <c r="S141" s="61"/>
      <c r="T141" s="61">
        <f>867141+40654</f>
        <v>907795</v>
      </c>
      <c r="U141" s="47">
        <f t="shared" si="95"/>
        <v>1089.354</v>
      </c>
      <c r="V141" s="51">
        <f t="shared" si="2"/>
        <v>308.18400000000003</v>
      </c>
      <c r="W141" s="47">
        <f t="shared" si="96"/>
        <v>0</v>
      </c>
      <c r="X141" s="67">
        <v>201.26400000000001</v>
      </c>
      <c r="Y141" s="47">
        <v>106.92</v>
      </c>
      <c r="Z141" s="56"/>
      <c r="AA141" s="47"/>
      <c r="AB141" s="51">
        <f t="shared" si="65"/>
        <v>267.83999999999997</v>
      </c>
      <c r="AC141" s="47">
        <f t="shared" si="97"/>
        <v>0</v>
      </c>
      <c r="AD141" s="47"/>
      <c r="AE141" s="67">
        <f t="shared" si="84"/>
        <v>267.83999999999997</v>
      </c>
      <c r="AF141" s="47"/>
      <c r="AG141" s="64">
        <v>148800</v>
      </c>
      <c r="AH141" s="47"/>
      <c r="AI141" s="47">
        <f t="shared" si="98"/>
        <v>642.32000000000005</v>
      </c>
      <c r="AJ141" s="53">
        <f t="shared" si="83"/>
        <v>305.63740000000001</v>
      </c>
      <c r="AK141" s="53">
        <f t="shared" si="99"/>
        <v>3056374</v>
      </c>
      <c r="AL141" s="47"/>
      <c r="AM141" s="47">
        <f t="shared" si="80"/>
        <v>150.25980000000001</v>
      </c>
      <c r="AN141" s="47">
        <f t="shared" si="81"/>
        <v>141.60140000000001</v>
      </c>
      <c r="AO141" s="47">
        <f t="shared" si="100"/>
        <v>1416014.0000000002</v>
      </c>
      <c r="AP141" s="47">
        <f t="shared" si="88"/>
        <v>8.6584000000000003</v>
      </c>
      <c r="AQ141" s="47">
        <f t="shared" si="101"/>
        <v>86584</v>
      </c>
      <c r="AR141" s="47"/>
      <c r="AS141" s="47">
        <f t="shared" si="75"/>
        <v>27.706800000000001</v>
      </c>
      <c r="AT141" s="47">
        <f t="shared" si="76"/>
        <v>15.585100000000001</v>
      </c>
      <c r="AU141" s="47">
        <f t="shared" si="102"/>
        <v>155851</v>
      </c>
      <c r="AV141" s="47">
        <f t="shared" si="71"/>
        <v>12.121700000000001</v>
      </c>
      <c r="AW141" s="47">
        <f t="shared" si="103"/>
        <v>121217</v>
      </c>
      <c r="AX141" s="47">
        <f t="shared" si="82"/>
        <v>229.22810000000001</v>
      </c>
      <c r="AY141" s="47"/>
      <c r="AZ141" s="47"/>
      <c r="BA141" s="54">
        <v>1E-4</v>
      </c>
      <c r="BB141" s="65" t="s">
        <v>268</v>
      </c>
      <c r="BC141" s="51">
        <f t="shared" si="104"/>
        <v>286.85000000000002</v>
      </c>
      <c r="BD141" s="47"/>
      <c r="BE141" s="47">
        <f t="shared" si="105"/>
        <v>0</v>
      </c>
      <c r="BF141" s="47"/>
      <c r="BG141" s="56">
        <v>241.85</v>
      </c>
      <c r="BH141" s="47">
        <v>45</v>
      </c>
      <c r="BI141" s="51">
        <f t="shared" si="89"/>
        <v>343.32309999999995</v>
      </c>
      <c r="BJ141" s="51">
        <f t="shared" si="90"/>
        <v>0</v>
      </c>
      <c r="BK141" s="68"/>
      <c r="BL141" s="68"/>
      <c r="BM141" s="47"/>
      <c r="BN141" s="47"/>
      <c r="BO141" s="47"/>
      <c r="BP141" s="68">
        <v>16.125599999999999</v>
      </c>
      <c r="BQ141" s="47"/>
      <c r="BR141" s="47"/>
      <c r="BS141" s="76">
        <f>50.235+1.5625</f>
        <v>51.797499999999999</v>
      </c>
      <c r="BT141" s="47"/>
      <c r="BU141" s="47"/>
      <c r="BV141" s="47"/>
      <c r="BW141" s="76">
        <v>275.39999999999998</v>
      </c>
      <c r="BX141" s="47"/>
      <c r="BY141" s="47"/>
      <c r="BZ141" s="47"/>
      <c r="CA141" s="47"/>
      <c r="CB141" s="54">
        <f t="shared" si="91"/>
        <v>3650.7031999999995</v>
      </c>
      <c r="CC141" s="47"/>
      <c r="CD141" s="57"/>
      <c r="CE141" s="47"/>
      <c r="CF141" s="47">
        <f t="shared" si="85"/>
        <v>3650.7031999999995</v>
      </c>
    </row>
    <row r="142" spans="1:84" ht="14.25" customHeight="1">
      <c r="A142" s="47">
        <v>135</v>
      </c>
      <c r="B142" s="47" t="s">
        <v>129</v>
      </c>
      <c r="C142" s="48">
        <v>202020</v>
      </c>
      <c r="D142" s="60" t="s">
        <v>269</v>
      </c>
      <c r="E142" s="60" t="s">
        <v>150</v>
      </c>
      <c r="F142" s="50">
        <f t="shared" si="92"/>
        <v>467</v>
      </c>
      <c r="G142" s="50"/>
      <c r="H142" s="50"/>
      <c r="I142" s="50">
        <f>415+21</f>
        <v>436</v>
      </c>
      <c r="J142" s="50">
        <v>8</v>
      </c>
      <c r="K142" s="50">
        <v>23</v>
      </c>
      <c r="L142" s="50"/>
      <c r="M142" s="50">
        <v>1</v>
      </c>
      <c r="N142" s="50">
        <v>369</v>
      </c>
      <c r="O142" s="50">
        <f t="shared" si="93"/>
        <v>837</v>
      </c>
      <c r="P142" s="51">
        <f t="shared" si="86"/>
        <v>7158.3068000000003</v>
      </c>
      <c r="Q142" s="51">
        <f t="shared" si="87"/>
        <v>5615.1391999999996</v>
      </c>
      <c r="R142" s="47">
        <f t="shared" si="94"/>
        <v>1665644</v>
      </c>
      <c r="S142" s="61"/>
      <c r="T142" s="61">
        <f>1581844+83800</f>
        <v>1665644</v>
      </c>
      <c r="U142" s="47">
        <f t="shared" si="95"/>
        <v>1998.7728</v>
      </c>
      <c r="V142" s="51">
        <f t="shared" si="2"/>
        <v>579.69600000000003</v>
      </c>
      <c r="W142" s="47">
        <f t="shared" si="96"/>
        <v>0</v>
      </c>
      <c r="X142" s="67">
        <v>380.01600000000002</v>
      </c>
      <c r="Y142" s="47">
        <v>199.68</v>
      </c>
      <c r="Z142" s="56"/>
      <c r="AA142" s="47"/>
      <c r="AB142" s="51">
        <f t="shared" si="65"/>
        <v>504.36</v>
      </c>
      <c r="AC142" s="47">
        <f t="shared" si="97"/>
        <v>0</v>
      </c>
      <c r="AD142" s="47"/>
      <c r="AE142" s="67">
        <f t="shared" si="84"/>
        <v>504.36</v>
      </c>
      <c r="AF142" s="47"/>
      <c r="AG142" s="64">
        <v>280200</v>
      </c>
      <c r="AH142" s="47"/>
      <c r="AI142" s="47">
        <f t="shared" si="98"/>
        <v>1209.53</v>
      </c>
      <c r="AJ142" s="53">
        <f t="shared" si="83"/>
        <v>567.1268</v>
      </c>
      <c r="AK142" s="53">
        <f t="shared" si="99"/>
        <v>5671268</v>
      </c>
      <c r="AL142" s="47"/>
      <c r="AM142" s="47">
        <f t="shared" si="80"/>
        <v>278.97570000000002</v>
      </c>
      <c r="AN142" s="47">
        <f t="shared" si="81"/>
        <v>262.93419999999998</v>
      </c>
      <c r="AO142" s="47">
        <f t="shared" si="100"/>
        <v>2629341.9999999995</v>
      </c>
      <c r="AP142" s="47">
        <f t="shared" si="88"/>
        <v>16.041499999999999</v>
      </c>
      <c r="AQ142" s="47">
        <f t="shared" si="101"/>
        <v>160415</v>
      </c>
      <c r="AR142" s="47"/>
      <c r="AS142" s="47">
        <f t="shared" si="75"/>
        <v>51.332799999999999</v>
      </c>
      <c r="AT142" s="47">
        <f t="shared" si="76"/>
        <v>28.874700000000001</v>
      </c>
      <c r="AU142" s="47">
        <f t="shared" si="102"/>
        <v>288747</v>
      </c>
      <c r="AV142" s="47">
        <f t="shared" si="71"/>
        <v>22.458100000000002</v>
      </c>
      <c r="AW142" s="47">
        <f t="shared" si="103"/>
        <v>224581.00000000003</v>
      </c>
      <c r="AX142" s="47">
        <f t="shared" si="82"/>
        <v>425.3451</v>
      </c>
      <c r="AY142" s="47"/>
      <c r="AZ142" s="47"/>
      <c r="BA142" s="54">
        <v>1E-4</v>
      </c>
      <c r="BB142" s="65" t="s">
        <v>269</v>
      </c>
      <c r="BC142" s="51">
        <f t="shared" si="104"/>
        <v>674.6</v>
      </c>
      <c r="BD142" s="47"/>
      <c r="BE142" s="47">
        <f t="shared" si="105"/>
        <v>0</v>
      </c>
      <c r="BF142" s="47"/>
      <c r="BG142" s="56">
        <v>546.20000000000005</v>
      </c>
      <c r="BH142" s="47">
        <v>128.4</v>
      </c>
      <c r="BI142" s="51">
        <f t="shared" si="89"/>
        <v>868.56759999999997</v>
      </c>
      <c r="BJ142" s="51">
        <f t="shared" si="90"/>
        <v>4.3860000000000001</v>
      </c>
      <c r="BK142" s="47"/>
      <c r="BL142" s="47">
        <v>4.3860000000000001</v>
      </c>
      <c r="BM142" s="47"/>
      <c r="BN142" s="47"/>
      <c r="BO142" s="47"/>
      <c r="BP142" s="68">
        <v>71.061599999999999</v>
      </c>
      <c r="BQ142" s="47"/>
      <c r="BR142" s="47"/>
      <c r="BS142" s="47">
        <v>161.72</v>
      </c>
      <c r="BT142" s="47"/>
      <c r="BU142" s="47"/>
      <c r="BV142" s="47"/>
      <c r="BW142" s="47">
        <v>631.4</v>
      </c>
      <c r="BX142" s="47"/>
      <c r="BY142" s="47"/>
      <c r="BZ142" s="47"/>
      <c r="CA142" s="47"/>
      <c r="CB142" s="54">
        <f t="shared" si="91"/>
        <v>7158.3068000000003</v>
      </c>
      <c r="CC142" s="47"/>
      <c r="CD142" s="57"/>
      <c r="CE142" s="47"/>
      <c r="CF142" s="47">
        <f t="shared" si="85"/>
        <v>7158.3068000000003</v>
      </c>
    </row>
    <row r="143" spans="1:84" ht="14.25" customHeight="1">
      <c r="A143" s="47">
        <v>136</v>
      </c>
      <c r="B143" s="47" t="s">
        <v>129</v>
      </c>
      <c r="C143" s="48">
        <v>202021</v>
      </c>
      <c r="D143" s="60" t="s">
        <v>270</v>
      </c>
      <c r="E143" s="60" t="s">
        <v>150</v>
      </c>
      <c r="F143" s="50">
        <f t="shared" si="92"/>
        <v>251</v>
      </c>
      <c r="G143" s="50"/>
      <c r="H143" s="50"/>
      <c r="I143" s="50">
        <f>208+13</f>
        <v>221</v>
      </c>
      <c r="J143" s="50">
        <v>6</v>
      </c>
      <c r="K143" s="50">
        <v>24</v>
      </c>
      <c r="L143" s="50"/>
      <c r="M143" s="50"/>
      <c r="N143" s="50">
        <v>107</v>
      </c>
      <c r="O143" s="50">
        <f t="shared" si="93"/>
        <v>358</v>
      </c>
      <c r="P143" s="51">
        <f t="shared" si="86"/>
        <v>3581.6515000000009</v>
      </c>
      <c r="Q143" s="51">
        <f t="shared" si="87"/>
        <v>2901.5290000000005</v>
      </c>
      <c r="R143" s="47">
        <f t="shared" si="94"/>
        <v>822252</v>
      </c>
      <c r="S143" s="61"/>
      <c r="T143" s="61">
        <f>793578+28674</f>
        <v>822252</v>
      </c>
      <c r="U143" s="47">
        <f t="shared" si="95"/>
        <v>986.70240000000001</v>
      </c>
      <c r="V143" s="51">
        <f t="shared" si="2"/>
        <v>316.75200000000001</v>
      </c>
      <c r="W143" s="47">
        <f t="shared" si="96"/>
        <v>0</v>
      </c>
      <c r="X143" s="67">
        <v>196.87200000000001</v>
      </c>
      <c r="Y143" s="47">
        <v>119.88</v>
      </c>
      <c r="Z143" s="56"/>
      <c r="AA143" s="47"/>
      <c r="AB143" s="51">
        <f t="shared" si="65"/>
        <v>271.08</v>
      </c>
      <c r="AC143" s="47">
        <f t="shared" si="97"/>
        <v>0</v>
      </c>
      <c r="AD143" s="47"/>
      <c r="AE143" s="67">
        <f t="shared" si="84"/>
        <v>271.08</v>
      </c>
      <c r="AF143" s="47"/>
      <c r="AG143" s="64">
        <v>150600</v>
      </c>
      <c r="AH143" s="47"/>
      <c r="AI143" s="47">
        <f t="shared" si="98"/>
        <v>650.09</v>
      </c>
      <c r="AJ143" s="53">
        <f t="shared" si="83"/>
        <v>290.80200000000002</v>
      </c>
      <c r="AK143" s="53">
        <f t="shared" si="99"/>
        <v>2908020</v>
      </c>
      <c r="AL143" s="47"/>
      <c r="AM143" s="47">
        <f t="shared" si="80"/>
        <v>141.8124</v>
      </c>
      <c r="AN143" s="47">
        <f t="shared" si="81"/>
        <v>133.6284</v>
      </c>
      <c r="AO143" s="47">
        <f t="shared" si="100"/>
        <v>1336284</v>
      </c>
      <c r="AP143" s="47">
        <f t="shared" si="88"/>
        <v>8.1839999999999993</v>
      </c>
      <c r="AQ143" s="47">
        <f t="shared" si="101"/>
        <v>81840</v>
      </c>
      <c r="AR143" s="47"/>
      <c r="AS143" s="47">
        <f t="shared" si="75"/>
        <v>26.188700000000001</v>
      </c>
      <c r="AT143" s="47">
        <f t="shared" si="76"/>
        <v>14.7311</v>
      </c>
      <c r="AU143" s="47">
        <f t="shared" si="102"/>
        <v>147311</v>
      </c>
      <c r="AV143" s="47">
        <f t="shared" si="71"/>
        <v>11.4575</v>
      </c>
      <c r="AW143" s="47">
        <f t="shared" si="103"/>
        <v>114575</v>
      </c>
      <c r="AX143" s="47">
        <f t="shared" si="82"/>
        <v>218.10149999999999</v>
      </c>
      <c r="AY143" s="47"/>
      <c r="AZ143" s="47"/>
      <c r="BA143" s="54">
        <v>1E-4</v>
      </c>
      <c r="BB143" s="65" t="s">
        <v>270</v>
      </c>
      <c r="BC143" s="51">
        <f t="shared" si="104"/>
        <v>286.96499999999997</v>
      </c>
      <c r="BD143" s="47"/>
      <c r="BE143" s="47">
        <f t="shared" si="105"/>
        <v>0</v>
      </c>
      <c r="BF143" s="47"/>
      <c r="BG143" s="56">
        <v>263.96499999999997</v>
      </c>
      <c r="BH143" s="47">
        <v>23</v>
      </c>
      <c r="BI143" s="51">
        <f t="shared" si="89"/>
        <v>393.15750000000003</v>
      </c>
      <c r="BJ143" s="51">
        <f t="shared" si="90"/>
        <v>0</v>
      </c>
      <c r="BK143" s="47"/>
      <c r="BL143" s="47"/>
      <c r="BM143" s="47"/>
      <c r="BN143" s="47"/>
      <c r="BO143" s="47"/>
      <c r="BP143" s="68">
        <v>13.95</v>
      </c>
      <c r="BQ143" s="47"/>
      <c r="BR143" s="47"/>
      <c r="BS143" s="76">
        <v>87.907499999999999</v>
      </c>
      <c r="BT143" s="47"/>
      <c r="BU143" s="47"/>
      <c r="BV143" s="47"/>
      <c r="BW143" s="76">
        <v>291.3</v>
      </c>
      <c r="BX143" s="47"/>
      <c r="BY143" s="47"/>
      <c r="BZ143" s="47"/>
      <c r="CA143" s="47"/>
      <c r="CB143" s="54">
        <f t="shared" si="91"/>
        <v>3581.6515000000009</v>
      </c>
      <c r="CC143" s="47"/>
      <c r="CD143" s="57"/>
      <c r="CE143" s="47"/>
      <c r="CF143" s="47">
        <f t="shared" si="85"/>
        <v>3581.6515000000009</v>
      </c>
    </row>
    <row r="144" spans="1:84" ht="14.25" customHeight="1">
      <c r="A144" s="47">
        <v>137</v>
      </c>
      <c r="B144" s="47" t="s">
        <v>129</v>
      </c>
      <c r="C144" s="48">
        <v>202022</v>
      </c>
      <c r="D144" s="60" t="s">
        <v>271</v>
      </c>
      <c r="E144" s="60" t="s">
        <v>150</v>
      </c>
      <c r="F144" s="50">
        <f t="shared" si="92"/>
        <v>414</v>
      </c>
      <c r="G144" s="50"/>
      <c r="H144" s="50"/>
      <c r="I144" s="50">
        <f>354+27</f>
        <v>381</v>
      </c>
      <c r="J144" s="50">
        <v>9</v>
      </c>
      <c r="K144" s="50">
        <v>24</v>
      </c>
      <c r="L144" s="50"/>
      <c r="M144" s="50"/>
      <c r="N144" s="50">
        <v>206</v>
      </c>
      <c r="O144" s="50">
        <f t="shared" si="93"/>
        <v>620</v>
      </c>
      <c r="P144" s="51">
        <f t="shared" si="86"/>
        <v>6039.8778999999995</v>
      </c>
      <c r="Q144" s="51">
        <f t="shared" si="87"/>
        <v>4867.1929999999993</v>
      </c>
      <c r="R144" s="47">
        <f t="shared" si="94"/>
        <v>1386991</v>
      </c>
      <c r="S144" s="61"/>
      <c r="T144" s="61">
        <v>1386991</v>
      </c>
      <c r="U144" s="47">
        <f t="shared" si="95"/>
        <v>1664.3892000000001</v>
      </c>
      <c r="V144" s="51">
        <f t="shared" si="2"/>
        <v>552.64800000000002</v>
      </c>
      <c r="W144" s="47">
        <f t="shared" si="96"/>
        <v>0</v>
      </c>
      <c r="X144" s="67">
        <v>328.608</v>
      </c>
      <c r="Y144" s="47">
        <v>224.04</v>
      </c>
      <c r="Z144" s="56"/>
      <c r="AA144" s="47"/>
      <c r="AB144" s="51">
        <f t="shared" si="65"/>
        <v>447.12</v>
      </c>
      <c r="AC144" s="47">
        <f t="shared" si="97"/>
        <v>0</v>
      </c>
      <c r="AD144" s="47"/>
      <c r="AE144" s="67">
        <f t="shared" si="84"/>
        <v>447.12</v>
      </c>
      <c r="AF144" s="47"/>
      <c r="AG144" s="64">
        <v>248400</v>
      </c>
      <c r="AH144" s="47"/>
      <c r="AI144" s="47">
        <f t="shared" si="98"/>
        <v>1072.26</v>
      </c>
      <c r="AJ144" s="53">
        <f t="shared" si="83"/>
        <v>485.55669999999998</v>
      </c>
      <c r="AK144" s="53">
        <f t="shared" si="99"/>
        <v>4855567</v>
      </c>
      <c r="AL144" s="47"/>
      <c r="AM144" s="47">
        <f t="shared" si="80"/>
        <v>237.26519999999999</v>
      </c>
      <c r="AN144" s="47">
        <f t="shared" si="81"/>
        <v>223.58189999999999</v>
      </c>
      <c r="AO144" s="47">
        <f t="shared" si="100"/>
        <v>2235819</v>
      </c>
      <c r="AP144" s="47">
        <f t="shared" si="88"/>
        <v>13.683199999999999</v>
      </c>
      <c r="AQ144" s="47">
        <f t="shared" si="101"/>
        <v>136832</v>
      </c>
      <c r="AR144" s="47"/>
      <c r="AS144" s="47">
        <f t="shared" si="75"/>
        <v>43.7864</v>
      </c>
      <c r="AT144" s="47">
        <f t="shared" si="76"/>
        <v>24.629799999999999</v>
      </c>
      <c r="AU144" s="47">
        <f t="shared" si="102"/>
        <v>246298</v>
      </c>
      <c r="AV144" s="47">
        <f t="shared" si="71"/>
        <v>19.156500000000001</v>
      </c>
      <c r="AW144" s="47">
        <f t="shared" si="103"/>
        <v>191565</v>
      </c>
      <c r="AX144" s="47">
        <f t="shared" si="82"/>
        <v>364.16750000000002</v>
      </c>
      <c r="AY144" s="47"/>
      <c r="AZ144" s="47"/>
      <c r="BA144" s="54">
        <v>1E-4</v>
      </c>
      <c r="BB144" s="65" t="s">
        <v>271</v>
      </c>
      <c r="BC144" s="51">
        <f t="shared" si="104"/>
        <v>521.05500000000006</v>
      </c>
      <c r="BD144" s="47"/>
      <c r="BE144" s="47">
        <f t="shared" si="105"/>
        <v>0</v>
      </c>
      <c r="BF144" s="47"/>
      <c r="BG144" s="56">
        <v>431.05500000000001</v>
      </c>
      <c r="BH144" s="47">
        <v>90</v>
      </c>
      <c r="BI144" s="51">
        <f t="shared" si="89"/>
        <v>651.62990000000002</v>
      </c>
      <c r="BJ144" s="51">
        <f t="shared" si="90"/>
        <v>0</v>
      </c>
      <c r="BK144" s="47"/>
      <c r="BL144" s="47"/>
      <c r="BM144" s="47"/>
      <c r="BN144" s="47"/>
      <c r="BO144" s="47"/>
      <c r="BP144" s="68">
        <v>29.342400000000001</v>
      </c>
      <c r="BQ144" s="47"/>
      <c r="BR144" s="47"/>
      <c r="BS144" s="76">
        <v>125.9875</v>
      </c>
      <c r="BT144" s="47"/>
      <c r="BU144" s="47"/>
      <c r="BV144" s="47"/>
      <c r="BW144" s="76">
        <v>496.3</v>
      </c>
      <c r="BX144" s="47"/>
      <c r="BY144" s="47"/>
      <c r="BZ144" s="47"/>
      <c r="CA144" s="47"/>
      <c r="CB144" s="54">
        <f t="shared" si="91"/>
        <v>6039.8778999999995</v>
      </c>
      <c r="CC144" s="47"/>
      <c r="CD144" s="57"/>
      <c r="CE144" s="47"/>
      <c r="CF144" s="47">
        <f t="shared" si="85"/>
        <v>6039.8778999999995</v>
      </c>
    </row>
    <row r="145" spans="1:84" ht="14.25" customHeight="1">
      <c r="A145" s="47">
        <v>138</v>
      </c>
      <c r="B145" s="47" t="s">
        <v>129</v>
      </c>
      <c r="C145" s="48">
        <v>202023</v>
      </c>
      <c r="D145" s="60" t="s">
        <v>272</v>
      </c>
      <c r="E145" s="60" t="s">
        <v>150</v>
      </c>
      <c r="F145" s="50">
        <f t="shared" si="92"/>
        <v>210</v>
      </c>
      <c r="G145" s="50"/>
      <c r="H145" s="50"/>
      <c r="I145" s="50">
        <f>185+16</f>
        <v>201</v>
      </c>
      <c r="J145" s="50">
        <v>2</v>
      </c>
      <c r="K145" s="50">
        <v>7</v>
      </c>
      <c r="L145" s="50"/>
      <c r="M145" s="50"/>
      <c r="N145" s="50">
        <v>92</v>
      </c>
      <c r="O145" s="50">
        <f t="shared" si="93"/>
        <v>302</v>
      </c>
      <c r="P145" s="51">
        <f t="shared" si="86"/>
        <v>3057.0077999999994</v>
      </c>
      <c r="Q145" s="51">
        <f t="shared" si="87"/>
        <v>2485.5212999999994</v>
      </c>
      <c r="R145" s="47">
        <f t="shared" si="94"/>
        <v>715063</v>
      </c>
      <c r="S145" s="61"/>
      <c r="T145" s="61">
        <f>684933+30130</f>
        <v>715063</v>
      </c>
      <c r="U145" s="47">
        <f t="shared" si="95"/>
        <v>858.07560000000001</v>
      </c>
      <c r="V145" s="51">
        <f t="shared" si="2"/>
        <v>277.99199999999996</v>
      </c>
      <c r="W145" s="47">
        <f t="shared" si="96"/>
        <v>0</v>
      </c>
      <c r="X145" s="67">
        <v>169.27199999999999</v>
      </c>
      <c r="Y145" s="67">
        <v>108.72</v>
      </c>
      <c r="Z145" s="47"/>
      <c r="AA145" s="47"/>
      <c r="AB145" s="51">
        <f t="shared" si="65"/>
        <v>226.8</v>
      </c>
      <c r="AC145" s="47">
        <f t="shared" si="97"/>
        <v>0</v>
      </c>
      <c r="AD145" s="47"/>
      <c r="AE145" s="67">
        <f t="shared" si="84"/>
        <v>226.8</v>
      </c>
      <c r="AF145" s="47"/>
      <c r="AG145" s="64">
        <v>126000</v>
      </c>
      <c r="AH145" s="47"/>
      <c r="AI145" s="47">
        <f t="shared" si="98"/>
        <v>543.9</v>
      </c>
      <c r="AJ145" s="53">
        <f t="shared" si="83"/>
        <v>248.50810000000001</v>
      </c>
      <c r="AK145" s="53">
        <f t="shared" si="99"/>
        <v>2485081</v>
      </c>
      <c r="AL145" s="47"/>
      <c r="AM145" s="47">
        <f t="shared" si="80"/>
        <v>121.4329</v>
      </c>
      <c r="AN145" s="47">
        <f t="shared" si="81"/>
        <v>114.423</v>
      </c>
      <c r="AO145" s="47">
        <f t="shared" si="100"/>
        <v>1144230</v>
      </c>
      <c r="AP145" s="47">
        <f t="shared" si="88"/>
        <v>7.0099</v>
      </c>
      <c r="AQ145" s="47">
        <f t="shared" si="101"/>
        <v>70099</v>
      </c>
      <c r="AR145" s="47"/>
      <c r="AS145" s="47">
        <f t="shared" si="75"/>
        <v>22.4316</v>
      </c>
      <c r="AT145" s="47">
        <f t="shared" si="76"/>
        <v>12.617800000000001</v>
      </c>
      <c r="AU145" s="47">
        <f t="shared" si="102"/>
        <v>126178.00000000001</v>
      </c>
      <c r="AV145" s="47">
        <f t="shared" si="71"/>
        <v>9.8138000000000005</v>
      </c>
      <c r="AW145" s="47">
        <f t="shared" si="103"/>
        <v>98138</v>
      </c>
      <c r="AX145" s="47">
        <f t="shared" si="82"/>
        <v>186.3811</v>
      </c>
      <c r="AY145" s="47"/>
      <c r="AZ145" s="47"/>
      <c r="BA145" s="54">
        <v>1E-4</v>
      </c>
      <c r="BB145" s="65" t="s">
        <v>272</v>
      </c>
      <c r="BC145" s="51">
        <f t="shared" si="104"/>
        <v>236.86</v>
      </c>
      <c r="BD145" s="47"/>
      <c r="BE145" s="47">
        <f t="shared" si="105"/>
        <v>0</v>
      </c>
      <c r="BF145" s="47"/>
      <c r="BG145" s="56">
        <v>236.86</v>
      </c>
      <c r="BH145" s="47"/>
      <c r="BI145" s="51">
        <f t="shared" si="89"/>
        <v>334.62650000000002</v>
      </c>
      <c r="BJ145" s="51">
        <f t="shared" si="90"/>
        <v>0</v>
      </c>
      <c r="BK145" s="47"/>
      <c r="BL145" s="47"/>
      <c r="BM145" s="47"/>
      <c r="BN145" s="47"/>
      <c r="BO145" s="47"/>
      <c r="BP145" s="68">
        <v>8.0640000000000001</v>
      </c>
      <c r="BQ145" s="47"/>
      <c r="BR145" s="47"/>
      <c r="BS145" s="76">
        <v>55.5625</v>
      </c>
      <c r="BT145" s="47"/>
      <c r="BU145" s="47"/>
      <c r="BV145" s="47"/>
      <c r="BW145" s="76">
        <v>271</v>
      </c>
      <c r="BX145" s="47"/>
      <c r="BY145" s="47"/>
      <c r="BZ145" s="47"/>
      <c r="CA145" s="47"/>
      <c r="CB145" s="54">
        <f t="shared" si="91"/>
        <v>3057.0077999999994</v>
      </c>
      <c r="CC145" s="47"/>
      <c r="CD145" s="57"/>
      <c r="CE145" s="47"/>
      <c r="CF145" s="47">
        <f t="shared" si="85"/>
        <v>3057.0077999999994</v>
      </c>
    </row>
    <row r="146" spans="1:84" ht="14.25" customHeight="1">
      <c r="A146" s="47">
        <v>139</v>
      </c>
      <c r="B146" s="47" t="s">
        <v>129</v>
      </c>
      <c r="C146" s="48">
        <v>202024</v>
      </c>
      <c r="D146" s="71" t="s">
        <v>273</v>
      </c>
      <c r="E146" s="60" t="s">
        <v>150</v>
      </c>
      <c r="F146" s="50">
        <f t="shared" si="92"/>
        <v>426</v>
      </c>
      <c r="G146" s="50"/>
      <c r="H146" s="50"/>
      <c r="I146" s="50">
        <f>363+25</f>
        <v>388</v>
      </c>
      <c r="J146" s="50">
        <v>6</v>
      </c>
      <c r="K146" s="50">
        <v>32</v>
      </c>
      <c r="L146" s="50"/>
      <c r="M146" s="50"/>
      <c r="N146" s="50">
        <v>171</v>
      </c>
      <c r="O146" s="50">
        <f t="shared" si="93"/>
        <v>597</v>
      </c>
      <c r="P146" s="51">
        <f t="shared" si="86"/>
        <v>6063.4456999999993</v>
      </c>
      <c r="Q146" s="51">
        <f t="shared" si="87"/>
        <v>4942.8596999999991</v>
      </c>
      <c r="R146" s="47">
        <f t="shared" si="94"/>
        <v>1394953</v>
      </c>
      <c r="S146" s="61"/>
      <c r="T146" s="61">
        <f>1342194+52759</f>
        <v>1394953</v>
      </c>
      <c r="U146" s="47">
        <f t="shared" si="95"/>
        <v>1673.9436000000001</v>
      </c>
      <c r="V146" s="51">
        <f t="shared" si="2"/>
        <v>556.99199999999996</v>
      </c>
      <c r="W146" s="47">
        <f t="shared" si="96"/>
        <v>0</v>
      </c>
      <c r="X146" s="67">
        <v>335.23200000000003</v>
      </c>
      <c r="Y146" s="67">
        <v>221.76</v>
      </c>
      <c r="Z146" s="47"/>
      <c r="AA146" s="47"/>
      <c r="AB146" s="51">
        <f t="shared" si="65"/>
        <v>460.08</v>
      </c>
      <c r="AC146" s="47">
        <f t="shared" si="97"/>
        <v>0</v>
      </c>
      <c r="AD146" s="47"/>
      <c r="AE146" s="67">
        <f t="shared" si="84"/>
        <v>460.08</v>
      </c>
      <c r="AF146" s="47"/>
      <c r="AG146" s="64">
        <v>255600</v>
      </c>
      <c r="AH146" s="47"/>
      <c r="AI146" s="47">
        <f t="shared" si="98"/>
        <v>1103.3399999999999</v>
      </c>
      <c r="AJ146" s="53">
        <f t="shared" si="83"/>
        <v>493.44060000000002</v>
      </c>
      <c r="AK146" s="53">
        <f t="shared" si="99"/>
        <v>4934406</v>
      </c>
      <c r="AL146" s="47"/>
      <c r="AM146" s="47">
        <f t="shared" si="80"/>
        <v>240.54660000000001</v>
      </c>
      <c r="AN146" s="47">
        <f t="shared" si="81"/>
        <v>226.6602</v>
      </c>
      <c r="AO146" s="47">
        <f t="shared" si="100"/>
        <v>2266602</v>
      </c>
      <c r="AP146" s="47">
        <f t="shared" si="88"/>
        <v>13.8864</v>
      </c>
      <c r="AQ146" s="47">
        <f t="shared" si="101"/>
        <v>138864</v>
      </c>
      <c r="AR146" s="47"/>
      <c r="AS146" s="47">
        <f t="shared" si="75"/>
        <v>44.436500000000002</v>
      </c>
      <c r="AT146" s="47">
        <f t="shared" si="76"/>
        <v>24.9956</v>
      </c>
      <c r="AU146" s="47">
        <f t="shared" si="102"/>
        <v>249956</v>
      </c>
      <c r="AV146" s="47">
        <f t="shared" si="71"/>
        <v>19.440999999999999</v>
      </c>
      <c r="AW146" s="47">
        <f t="shared" si="103"/>
        <v>194410</v>
      </c>
      <c r="AX146" s="47">
        <f t="shared" si="82"/>
        <v>370.0804</v>
      </c>
      <c r="AY146" s="47"/>
      <c r="AZ146" s="47"/>
      <c r="BA146" s="54">
        <v>1E-4</v>
      </c>
      <c r="BB146" s="74" t="s">
        <v>273</v>
      </c>
      <c r="BC146" s="51">
        <f t="shared" si="104"/>
        <v>499.84500000000003</v>
      </c>
      <c r="BD146" s="47"/>
      <c r="BE146" s="47">
        <f t="shared" si="105"/>
        <v>0</v>
      </c>
      <c r="BF146" s="47"/>
      <c r="BG146" s="56">
        <v>429.84500000000003</v>
      </c>
      <c r="BH146" s="47">
        <v>70</v>
      </c>
      <c r="BI146" s="51">
        <f t="shared" si="89"/>
        <v>620.74099999999999</v>
      </c>
      <c r="BJ146" s="51">
        <f t="shared" si="90"/>
        <v>0</v>
      </c>
      <c r="BK146" s="47"/>
      <c r="BL146" s="47"/>
      <c r="BM146" s="47"/>
      <c r="BN146" s="47"/>
      <c r="BO146" s="47"/>
      <c r="BP146" s="68">
        <v>27.216000000000001</v>
      </c>
      <c r="BQ146" s="47"/>
      <c r="BR146" s="47"/>
      <c r="BS146" s="76">
        <v>105.825</v>
      </c>
      <c r="BT146" s="47"/>
      <c r="BU146" s="47"/>
      <c r="BV146" s="47"/>
      <c r="BW146" s="76">
        <v>487.7</v>
      </c>
      <c r="BX146" s="47"/>
      <c r="BY146" s="47"/>
      <c r="BZ146" s="47"/>
      <c r="CA146" s="47"/>
      <c r="CB146" s="54">
        <f t="shared" si="91"/>
        <v>6063.4456999999993</v>
      </c>
      <c r="CC146" s="47"/>
      <c r="CD146" s="57"/>
      <c r="CE146" s="47"/>
      <c r="CF146" s="47">
        <f t="shared" si="85"/>
        <v>6063.4456999999993</v>
      </c>
    </row>
    <row r="147" spans="1:84" ht="14.25" customHeight="1">
      <c r="A147" s="47">
        <v>140</v>
      </c>
      <c r="B147" s="47" t="s">
        <v>129</v>
      </c>
      <c r="C147" s="48">
        <v>202025</v>
      </c>
      <c r="D147" s="60" t="s">
        <v>274</v>
      </c>
      <c r="E147" s="60" t="s">
        <v>150</v>
      </c>
      <c r="F147" s="50">
        <f t="shared" si="92"/>
        <v>256</v>
      </c>
      <c r="G147" s="50"/>
      <c r="H147" s="50"/>
      <c r="I147" s="50">
        <f>222+17</f>
        <v>239</v>
      </c>
      <c r="J147" s="50">
        <v>6</v>
      </c>
      <c r="K147" s="50">
        <v>11</v>
      </c>
      <c r="L147" s="50"/>
      <c r="M147" s="50"/>
      <c r="N147" s="50">
        <v>197</v>
      </c>
      <c r="O147" s="50">
        <f t="shared" si="93"/>
        <v>453</v>
      </c>
      <c r="P147" s="51">
        <f t="shared" si="86"/>
        <v>3762.3170999999998</v>
      </c>
      <c r="Q147" s="51">
        <f t="shared" si="87"/>
        <v>3115.6915999999997</v>
      </c>
      <c r="R147" s="47">
        <f t="shared" si="94"/>
        <v>927590</v>
      </c>
      <c r="S147" s="61"/>
      <c r="T147" s="61">
        <v>927590</v>
      </c>
      <c r="U147" s="47">
        <f t="shared" si="95"/>
        <v>1113.1079999999999</v>
      </c>
      <c r="V147" s="51">
        <f t="shared" si="2"/>
        <v>331.34399999999999</v>
      </c>
      <c r="W147" s="47">
        <f t="shared" si="96"/>
        <v>0</v>
      </c>
      <c r="X147" s="67">
        <v>209.06399999999999</v>
      </c>
      <c r="Y147" s="67">
        <v>122.28</v>
      </c>
      <c r="Z147" s="47"/>
      <c r="AA147" s="47"/>
      <c r="AB147" s="51">
        <f t="shared" si="65"/>
        <v>276.48</v>
      </c>
      <c r="AC147" s="47">
        <f t="shared" si="97"/>
        <v>0</v>
      </c>
      <c r="AD147" s="47"/>
      <c r="AE147" s="67">
        <f t="shared" si="84"/>
        <v>276.48</v>
      </c>
      <c r="AF147" s="47"/>
      <c r="AG147" s="64">
        <v>153600</v>
      </c>
      <c r="AH147" s="47"/>
      <c r="AI147" s="47">
        <f t="shared" si="98"/>
        <v>663.04</v>
      </c>
      <c r="AJ147" s="53">
        <f t="shared" si="83"/>
        <v>313.67489999999998</v>
      </c>
      <c r="AK147" s="53">
        <f t="shared" si="99"/>
        <v>3136749</v>
      </c>
      <c r="AL147" s="47"/>
      <c r="AM147" s="47">
        <f t="shared" si="80"/>
        <v>154.37010000000001</v>
      </c>
      <c r="AN147" s="47">
        <f t="shared" si="81"/>
        <v>145.48929999999999</v>
      </c>
      <c r="AO147" s="47">
        <f t="shared" si="100"/>
        <v>1454892.9999999998</v>
      </c>
      <c r="AP147" s="47">
        <f t="shared" si="88"/>
        <v>8.8806999999999992</v>
      </c>
      <c r="AQ147" s="47">
        <f t="shared" si="101"/>
        <v>88806.999999999985</v>
      </c>
      <c r="AR147" s="47"/>
      <c r="AS147" s="47">
        <f t="shared" si="75"/>
        <v>28.418399999999998</v>
      </c>
      <c r="AT147" s="47">
        <f t="shared" si="76"/>
        <v>15.985300000000001</v>
      </c>
      <c r="AU147" s="47">
        <f t="shared" si="102"/>
        <v>159853</v>
      </c>
      <c r="AV147" s="47">
        <f t="shared" si="71"/>
        <v>12.433</v>
      </c>
      <c r="AW147" s="47">
        <f t="shared" si="103"/>
        <v>124330</v>
      </c>
      <c r="AX147" s="47">
        <f t="shared" si="82"/>
        <v>235.25620000000001</v>
      </c>
      <c r="AY147" s="47"/>
      <c r="AZ147" s="47"/>
      <c r="BA147" s="54">
        <v>1E-4</v>
      </c>
      <c r="BB147" s="65" t="s">
        <v>274</v>
      </c>
      <c r="BC147" s="51">
        <f t="shared" si="104"/>
        <v>283.89999999999998</v>
      </c>
      <c r="BD147" s="47"/>
      <c r="BE147" s="47">
        <f t="shared" si="105"/>
        <v>0</v>
      </c>
      <c r="BF147" s="47"/>
      <c r="BG147" s="56">
        <v>233.9</v>
      </c>
      <c r="BH147" s="47">
        <v>50</v>
      </c>
      <c r="BI147" s="51">
        <f t="shared" si="89"/>
        <v>362.72550000000001</v>
      </c>
      <c r="BJ147" s="51">
        <f t="shared" si="90"/>
        <v>0</v>
      </c>
      <c r="BK147" s="47"/>
      <c r="BL147" s="47"/>
      <c r="BM147" s="47"/>
      <c r="BN147" s="47"/>
      <c r="BO147" s="47"/>
      <c r="BP147" s="68">
        <v>36.287999999999997</v>
      </c>
      <c r="BQ147" s="47"/>
      <c r="BR147" s="47"/>
      <c r="BS147" s="76">
        <v>66.237499999999997</v>
      </c>
      <c r="BT147" s="47"/>
      <c r="BU147" s="47"/>
      <c r="BV147" s="47"/>
      <c r="BW147" s="76">
        <v>260.2</v>
      </c>
      <c r="BX147" s="47"/>
      <c r="BY147" s="47"/>
      <c r="BZ147" s="47"/>
      <c r="CA147" s="47"/>
      <c r="CB147" s="54">
        <f t="shared" si="91"/>
        <v>3762.3170999999998</v>
      </c>
      <c r="CC147" s="47"/>
      <c r="CD147" s="57"/>
      <c r="CE147" s="47"/>
      <c r="CF147" s="47">
        <f t="shared" si="85"/>
        <v>3762.3170999999998</v>
      </c>
    </row>
    <row r="148" spans="1:84" ht="14.25" customHeight="1">
      <c r="A148" s="47">
        <v>141</v>
      </c>
      <c r="B148" s="47" t="s">
        <v>129</v>
      </c>
      <c r="C148" s="48">
        <v>202026</v>
      </c>
      <c r="D148" s="60" t="s">
        <v>275</v>
      </c>
      <c r="E148" s="60" t="s">
        <v>150</v>
      </c>
      <c r="F148" s="50">
        <f t="shared" si="92"/>
        <v>381</v>
      </c>
      <c r="G148" s="50"/>
      <c r="H148" s="50"/>
      <c r="I148" s="50">
        <v>369</v>
      </c>
      <c r="J148" s="50">
        <v>10</v>
      </c>
      <c r="K148" s="50">
        <v>2</v>
      </c>
      <c r="L148" s="50"/>
      <c r="M148" s="50"/>
      <c r="N148" s="50">
        <f>196+2</f>
        <v>198</v>
      </c>
      <c r="O148" s="50">
        <f t="shared" si="93"/>
        <v>579</v>
      </c>
      <c r="P148" s="51">
        <f t="shared" si="86"/>
        <v>6114.1931000000013</v>
      </c>
      <c r="Q148" s="51">
        <f t="shared" si="87"/>
        <v>4939.5076000000008</v>
      </c>
      <c r="R148" s="47">
        <f t="shared" si="94"/>
        <v>1561288</v>
      </c>
      <c r="S148" s="61"/>
      <c r="T148" s="61">
        <v>1561288</v>
      </c>
      <c r="U148" s="47">
        <f t="shared" si="95"/>
        <v>1873.5455999999999</v>
      </c>
      <c r="V148" s="51">
        <f t="shared" si="2"/>
        <v>496.75200000000001</v>
      </c>
      <c r="W148" s="47">
        <f t="shared" si="96"/>
        <v>0</v>
      </c>
      <c r="X148" s="67">
        <v>337.75200000000001</v>
      </c>
      <c r="Y148" s="67">
        <v>159</v>
      </c>
      <c r="Z148" s="47"/>
      <c r="AA148" s="47"/>
      <c r="AB148" s="51">
        <f t="shared" si="65"/>
        <v>411.48</v>
      </c>
      <c r="AC148" s="47">
        <f t="shared" si="97"/>
        <v>0</v>
      </c>
      <c r="AD148" s="47"/>
      <c r="AE148" s="67">
        <f t="shared" si="84"/>
        <v>411.48</v>
      </c>
      <c r="AF148" s="47"/>
      <c r="AG148" s="64">
        <v>228600</v>
      </c>
      <c r="AH148" s="47"/>
      <c r="AI148" s="47">
        <f t="shared" si="98"/>
        <v>986.79</v>
      </c>
      <c r="AJ148" s="53">
        <f t="shared" si="83"/>
        <v>501.54489999999998</v>
      </c>
      <c r="AK148" s="53">
        <f t="shared" si="99"/>
        <v>5015449</v>
      </c>
      <c r="AL148" s="47"/>
      <c r="AM148" s="47">
        <f t="shared" si="80"/>
        <v>247.471</v>
      </c>
      <c r="AN148" s="47">
        <f t="shared" si="81"/>
        <v>233.16929999999999</v>
      </c>
      <c r="AO148" s="47">
        <f t="shared" si="100"/>
        <v>2331693</v>
      </c>
      <c r="AP148" s="47">
        <f t="shared" si="88"/>
        <v>14.3017</v>
      </c>
      <c r="AQ148" s="47">
        <f t="shared" si="101"/>
        <v>143017</v>
      </c>
      <c r="AR148" s="47"/>
      <c r="AS148" s="47">
        <f t="shared" si="75"/>
        <v>45.7654</v>
      </c>
      <c r="AT148" s="47">
        <f t="shared" si="76"/>
        <v>25.742999999999999</v>
      </c>
      <c r="AU148" s="47">
        <f t="shared" si="102"/>
        <v>257430</v>
      </c>
      <c r="AV148" s="47">
        <f t="shared" si="71"/>
        <v>20.022300000000001</v>
      </c>
      <c r="AW148" s="47">
        <f t="shared" si="103"/>
        <v>200223</v>
      </c>
      <c r="AX148" s="47">
        <f t="shared" si="82"/>
        <v>376.15870000000001</v>
      </c>
      <c r="AY148" s="47"/>
      <c r="AZ148" s="47"/>
      <c r="BA148" s="54">
        <v>1E-4</v>
      </c>
      <c r="BB148" s="65" t="s">
        <v>275</v>
      </c>
      <c r="BC148" s="51">
        <f t="shared" si="104"/>
        <v>535.67499999999995</v>
      </c>
      <c r="BD148" s="47"/>
      <c r="BE148" s="47">
        <f t="shared" si="105"/>
        <v>0</v>
      </c>
      <c r="BF148" s="47"/>
      <c r="BG148" s="56">
        <v>436.67500000000001</v>
      </c>
      <c r="BH148" s="47">
        <v>99</v>
      </c>
      <c r="BI148" s="51">
        <f t="shared" si="89"/>
        <v>639.01049999999998</v>
      </c>
      <c r="BJ148" s="51">
        <f t="shared" si="90"/>
        <v>0</v>
      </c>
      <c r="BK148" s="68"/>
      <c r="BL148" s="68"/>
      <c r="BM148" s="47"/>
      <c r="BN148" s="68"/>
      <c r="BO148" s="47"/>
      <c r="BP148" s="68">
        <v>26.748000000000001</v>
      </c>
      <c r="BQ148" s="47"/>
      <c r="BR148" s="47"/>
      <c r="BS148" s="76">
        <v>103.7625</v>
      </c>
      <c r="BT148" s="47"/>
      <c r="BU148" s="47"/>
      <c r="BV148" s="47"/>
      <c r="BW148" s="76">
        <v>508.5</v>
      </c>
      <c r="BX148" s="47"/>
      <c r="BY148" s="47"/>
      <c r="BZ148" s="47"/>
      <c r="CA148" s="47"/>
      <c r="CB148" s="54">
        <f t="shared" si="91"/>
        <v>6114.1931000000013</v>
      </c>
      <c r="CC148" s="47"/>
      <c r="CD148" s="57"/>
      <c r="CE148" s="47"/>
      <c r="CF148" s="47">
        <f t="shared" si="85"/>
        <v>6114.1931000000013</v>
      </c>
    </row>
    <row r="149" spans="1:84" ht="14.25" customHeight="1">
      <c r="A149" s="47">
        <v>142</v>
      </c>
      <c r="B149" s="47" t="s">
        <v>129</v>
      </c>
      <c r="C149" s="48">
        <v>202027</v>
      </c>
      <c r="D149" s="60" t="s">
        <v>276</v>
      </c>
      <c r="E149" s="60" t="s">
        <v>150</v>
      </c>
      <c r="F149" s="50">
        <f t="shared" si="92"/>
        <v>3</v>
      </c>
      <c r="G149" s="50"/>
      <c r="H149" s="50"/>
      <c r="I149" s="50">
        <v>2</v>
      </c>
      <c r="J149" s="50">
        <v>1</v>
      </c>
      <c r="K149" s="50"/>
      <c r="L149" s="50"/>
      <c r="M149" s="50"/>
      <c r="N149" s="50"/>
      <c r="O149" s="50">
        <f t="shared" si="93"/>
        <v>3</v>
      </c>
      <c r="P149" s="51">
        <f t="shared" si="86"/>
        <v>93.400400000000005</v>
      </c>
      <c r="Q149" s="51">
        <f t="shared" si="87"/>
        <v>32.520400000000002</v>
      </c>
      <c r="R149" s="47">
        <f t="shared" si="94"/>
        <v>9812</v>
      </c>
      <c r="S149" s="58"/>
      <c r="T149" s="58">
        <v>9812</v>
      </c>
      <c r="U149" s="47">
        <f t="shared" si="95"/>
        <v>11.7744</v>
      </c>
      <c r="V149" s="51">
        <f t="shared" si="2"/>
        <v>0</v>
      </c>
      <c r="W149" s="47">
        <f t="shared" si="96"/>
        <v>0</v>
      </c>
      <c r="X149" s="47"/>
      <c r="Y149" s="47"/>
      <c r="Z149" s="47"/>
      <c r="AA149" s="47"/>
      <c r="AB149" s="51">
        <f t="shared" si="65"/>
        <v>4.32</v>
      </c>
      <c r="AC149" s="47">
        <f t="shared" si="97"/>
        <v>0</v>
      </c>
      <c r="AD149" s="47"/>
      <c r="AE149" s="47"/>
      <c r="AF149" s="47">
        <f>ROUND(AG149*12/10000,4)</f>
        <v>4.32</v>
      </c>
      <c r="AG149" s="47">
        <v>3600</v>
      </c>
      <c r="AH149" s="47"/>
      <c r="AI149" s="47">
        <f t="shared" si="98"/>
        <v>7.77</v>
      </c>
      <c r="AJ149" s="53">
        <f t="shared" ref="AJ149:AJ162" si="106">ROUND((U149+W149+AC149+AE149+AF149+AI149)*0.16,4)</f>
        <v>3.8182999999999998</v>
      </c>
      <c r="AK149" s="53">
        <f t="shared" si="99"/>
        <v>38183</v>
      </c>
      <c r="AL149" s="47"/>
      <c r="AM149" s="47">
        <f t="shared" ref="AM149:AM162" si="107">ROUND(((U149+W149+AI149)*0.085+N149*0.0075),4)</f>
        <v>1.6613</v>
      </c>
      <c r="AN149" s="47">
        <f t="shared" ref="AN149:AN159" si="108">ROUND(((U149+W149+AI149)*0.08+N149*0.0075),4)</f>
        <v>1.5636000000000001</v>
      </c>
      <c r="AO149" s="47">
        <f t="shared" si="100"/>
        <v>15636.000000000002</v>
      </c>
      <c r="AP149" s="47">
        <f t="shared" si="88"/>
        <v>9.7699999999999995E-2</v>
      </c>
      <c r="AQ149" s="47">
        <f t="shared" si="101"/>
        <v>977</v>
      </c>
      <c r="AR149" s="47"/>
      <c r="AS149" s="47">
        <f t="shared" si="75"/>
        <v>0.31269999999999998</v>
      </c>
      <c r="AT149" s="47">
        <f t="shared" si="76"/>
        <v>0.1759</v>
      </c>
      <c r="AU149" s="47">
        <f t="shared" si="102"/>
        <v>1759</v>
      </c>
      <c r="AV149" s="47">
        <f t="shared" si="71"/>
        <v>0.1368</v>
      </c>
      <c r="AW149" s="47">
        <f t="shared" si="103"/>
        <v>1368</v>
      </c>
      <c r="AX149" s="47">
        <f t="shared" ref="AX149:AX162" si="109">ROUND((U149+W149+AC149+AE149+AF149+AI149)*0.12,4)</f>
        <v>2.8637000000000001</v>
      </c>
      <c r="AY149" s="47"/>
      <c r="AZ149" s="47"/>
      <c r="BA149" s="54">
        <v>1E-4</v>
      </c>
      <c r="BB149" s="65" t="s">
        <v>276</v>
      </c>
      <c r="BC149" s="51">
        <f t="shared" si="104"/>
        <v>60.88</v>
      </c>
      <c r="BD149" s="47">
        <f t="shared" ref="BD149:BD159" si="110">1.2*(G149+H149)+0.96*(I149+J149)</f>
        <v>2.88</v>
      </c>
      <c r="BE149" s="47">
        <f t="shared" si="105"/>
        <v>0</v>
      </c>
      <c r="BF149" s="47"/>
      <c r="BG149" s="56">
        <v>58</v>
      </c>
      <c r="BH149" s="47"/>
      <c r="BI149" s="51">
        <f t="shared" si="89"/>
        <v>0</v>
      </c>
      <c r="BJ149" s="51">
        <f t="shared" si="90"/>
        <v>0</v>
      </c>
      <c r="BK149" s="47"/>
      <c r="BL149" s="47"/>
      <c r="BM149" s="47"/>
      <c r="BN149" s="47"/>
      <c r="BO149" s="47"/>
      <c r="BP149" s="47"/>
      <c r="BQ149" s="47"/>
      <c r="BR149" s="47"/>
      <c r="BS149" s="53"/>
      <c r="BT149" s="47"/>
      <c r="BU149" s="47"/>
      <c r="BV149" s="47"/>
      <c r="BW149" s="68"/>
      <c r="BX149" s="47"/>
      <c r="BY149" s="47"/>
      <c r="BZ149" s="47"/>
      <c r="CA149" s="47"/>
      <c r="CB149" s="54">
        <f t="shared" si="91"/>
        <v>93.400400000000005</v>
      </c>
      <c r="CC149" s="47"/>
      <c r="CD149" s="57"/>
      <c r="CE149" s="47"/>
      <c r="CF149" s="47">
        <f t="shared" si="85"/>
        <v>93.400400000000005</v>
      </c>
    </row>
    <row r="150" spans="1:84" ht="14.25" customHeight="1">
      <c r="A150" s="47">
        <v>143</v>
      </c>
      <c r="B150" s="47" t="s">
        <v>129</v>
      </c>
      <c r="C150" s="48">
        <v>205001</v>
      </c>
      <c r="D150" s="49" t="s">
        <v>277</v>
      </c>
      <c r="E150" s="49" t="s">
        <v>143</v>
      </c>
      <c r="F150" s="50">
        <f t="shared" si="92"/>
        <v>6</v>
      </c>
      <c r="G150" s="50">
        <v>6</v>
      </c>
      <c r="H150" s="50"/>
      <c r="I150" s="50"/>
      <c r="J150" s="50"/>
      <c r="K150" s="50"/>
      <c r="L150" s="50"/>
      <c r="M150" s="50"/>
      <c r="N150" s="50"/>
      <c r="O150" s="50">
        <f t="shared" si="93"/>
        <v>6</v>
      </c>
      <c r="P150" s="51">
        <f t="shared" si="86"/>
        <v>98.079800000000006</v>
      </c>
      <c r="Q150" s="51">
        <f t="shared" si="87"/>
        <v>74.911799999999999</v>
      </c>
      <c r="R150" s="47">
        <f t="shared" si="94"/>
        <v>23933</v>
      </c>
      <c r="S150" s="58">
        <v>23933</v>
      </c>
      <c r="T150" s="58"/>
      <c r="U150" s="47">
        <f t="shared" si="95"/>
        <v>28.7196</v>
      </c>
      <c r="V150" s="51">
        <f t="shared" si="2"/>
        <v>13.5</v>
      </c>
      <c r="W150" s="47">
        <f t="shared" si="96"/>
        <v>13.5</v>
      </c>
      <c r="X150" s="47"/>
      <c r="Y150" s="47"/>
      <c r="Z150" s="47"/>
      <c r="AA150" s="47"/>
      <c r="AB150" s="51">
        <f t="shared" si="65"/>
        <v>13.303699999999999</v>
      </c>
      <c r="AC150" s="47">
        <f t="shared" si="97"/>
        <v>2.3933</v>
      </c>
      <c r="AD150" s="47"/>
      <c r="AE150" s="47"/>
      <c r="AF150" s="47">
        <f>ROUND(AG150*12/10000,4)</f>
        <v>10.910399999999999</v>
      </c>
      <c r="AG150" s="47">
        <v>9092</v>
      </c>
      <c r="AH150" s="47"/>
      <c r="AI150" s="47">
        <f t="shared" si="98"/>
        <v>0</v>
      </c>
      <c r="AJ150" s="53">
        <f t="shared" si="106"/>
        <v>8.8836999999999993</v>
      </c>
      <c r="AK150" s="53">
        <f t="shared" si="99"/>
        <v>88836.999999999985</v>
      </c>
      <c r="AL150" s="47"/>
      <c r="AM150" s="47">
        <f t="shared" si="107"/>
        <v>3.5886999999999998</v>
      </c>
      <c r="AN150" s="47">
        <f t="shared" si="108"/>
        <v>3.3776000000000002</v>
      </c>
      <c r="AO150" s="47">
        <f t="shared" si="100"/>
        <v>33776</v>
      </c>
      <c r="AP150" s="47">
        <f t="shared" si="88"/>
        <v>0.21110000000000001</v>
      </c>
      <c r="AQ150" s="47">
        <f t="shared" si="101"/>
        <v>2111</v>
      </c>
      <c r="AR150" s="47"/>
      <c r="AS150" s="47">
        <f t="shared" ref="AS150:AS162" si="111">ROUND(((T150*12/10000+AI150)*0.007+(U150+W150+AI150)*0.006),4)</f>
        <v>0.25330000000000003</v>
      </c>
      <c r="AT150" s="47">
        <f t="shared" ref="AT150:AT159" si="112">ROUND(((U150+W150+AI150)*0.006),4)</f>
        <v>0.25330000000000003</v>
      </c>
      <c r="AU150" s="47">
        <f t="shared" si="102"/>
        <v>2533.0000000000005</v>
      </c>
      <c r="AV150" s="47">
        <f t="shared" si="71"/>
        <v>0</v>
      </c>
      <c r="AW150" s="47">
        <f t="shared" si="103"/>
        <v>0</v>
      </c>
      <c r="AX150" s="47">
        <f t="shared" si="109"/>
        <v>6.6627999999999998</v>
      </c>
      <c r="AY150" s="47"/>
      <c r="AZ150" s="47"/>
      <c r="BA150" s="54">
        <v>1E-4</v>
      </c>
      <c r="BB150" s="55" t="s">
        <v>277</v>
      </c>
      <c r="BC150" s="51">
        <f t="shared" si="104"/>
        <v>23.167999999999999</v>
      </c>
      <c r="BD150" s="47">
        <f t="shared" si="110"/>
        <v>7.1999999999999993</v>
      </c>
      <c r="BE150" s="47">
        <f t="shared" si="105"/>
        <v>4.968</v>
      </c>
      <c r="BF150" s="47">
        <v>4140</v>
      </c>
      <c r="BG150" s="56">
        <v>11</v>
      </c>
      <c r="BH150" s="47"/>
      <c r="BI150" s="51">
        <f t="shared" si="89"/>
        <v>0</v>
      </c>
      <c r="BJ150" s="51">
        <f t="shared" si="90"/>
        <v>0</v>
      </c>
      <c r="BK150" s="47"/>
      <c r="BL150" s="47"/>
      <c r="BM150" s="47"/>
      <c r="BN150" s="47"/>
      <c r="BO150" s="47"/>
      <c r="BP150" s="47"/>
      <c r="BQ150" s="47"/>
      <c r="BR150" s="47"/>
      <c r="BS150" s="53"/>
      <c r="BT150" s="47"/>
      <c r="BU150" s="47"/>
      <c r="BV150" s="47"/>
      <c r="BW150" s="47"/>
      <c r="BX150" s="47">
        <v>113</v>
      </c>
      <c r="BY150" s="47"/>
      <c r="BZ150" s="47"/>
      <c r="CA150" s="47"/>
      <c r="CB150" s="54">
        <f t="shared" si="91"/>
        <v>211.07980000000001</v>
      </c>
      <c r="CC150" s="47"/>
      <c r="CD150" s="57"/>
      <c r="CE150" s="47"/>
      <c r="CF150" s="47">
        <f t="shared" si="85"/>
        <v>211.07980000000001</v>
      </c>
    </row>
    <row r="151" spans="1:84" ht="14.25" customHeight="1">
      <c r="A151" s="47">
        <v>144</v>
      </c>
      <c r="B151" s="47" t="s">
        <v>129</v>
      </c>
      <c r="C151" s="75">
        <v>201001</v>
      </c>
      <c r="D151" s="49" t="s">
        <v>278</v>
      </c>
      <c r="E151" s="49" t="s">
        <v>131</v>
      </c>
      <c r="F151" s="50">
        <f t="shared" si="92"/>
        <v>26</v>
      </c>
      <c r="G151" s="50">
        <v>15</v>
      </c>
      <c r="H151" s="50">
        <v>3</v>
      </c>
      <c r="I151" s="50">
        <v>8</v>
      </c>
      <c r="J151" s="50"/>
      <c r="K151" s="50"/>
      <c r="L151" s="50"/>
      <c r="M151" s="50">
        <v>1</v>
      </c>
      <c r="N151" s="50">
        <v>30</v>
      </c>
      <c r="O151" s="50">
        <f t="shared" si="93"/>
        <v>57</v>
      </c>
      <c r="P151" s="51">
        <f t="shared" si="86"/>
        <v>518.55514000000005</v>
      </c>
      <c r="Q151" s="51">
        <f t="shared" si="87"/>
        <v>297.7641000000001</v>
      </c>
      <c r="R151" s="47">
        <f t="shared" si="94"/>
        <v>90661</v>
      </c>
      <c r="S151" s="58">
        <v>71022</v>
      </c>
      <c r="T151" s="58">
        <v>19639</v>
      </c>
      <c r="U151" s="47">
        <f t="shared" si="95"/>
        <v>108.7932</v>
      </c>
      <c r="V151" s="51">
        <f t="shared" si="2"/>
        <v>40.5</v>
      </c>
      <c r="W151" s="47">
        <f t="shared" si="96"/>
        <v>40.5</v>
      </c>
      <c r="X151" s="47"/>
      <c r="Y151" s="47"/>
      <c r="Z151" s="47"/>
      <c r="AA151" s="47"/>
      <c r="AB151" s="51">
        <f t="shared" si="65"/>
        <v>50.110200000000006</v>
      </c>
      <c r="AC151" s="47">
        <f t="shared" si="97"/>
        <v>7.1021999999999998</v>
      </c>
      <c r="AD151" s="47"/>
      <c r="AE151" s="47"/>
      <c r="AF151" s="47">
        <f>ROUND(AG151*12/10000,4)</f>
        <v>43.008000000000003</v>
      </c>
      <c r="AG151" s="47">
        <v>35840</v>
      </c>
      <c r="AH151" s="47"/>
      <c r="AI151" s="47">
        <f t="shared" si="98"/>
        <v>20.72</v>
      </c>
      <c r="AJ151" s="53">
        <f t="shared" si="106"/>
        <v>35.219700000000003</v>
      </c>
      <c r="AK151" s="53">
        <f t="shared" si="99"/>
        <v>352197.00000000006</v>
      </c>
      <c r="AL151" s="47"/>
      <c r="AM151" s="47">
        <f t="shared" si="107"/>
        <v>14.6761</v>
      </c>
      <c r="AN151" s="47">
        <f t="shared" si="108"/>
        <v>13.8261</v>
      </c>
      <c r="AO151" s="47">
        <f t="shared" si="100"/>
        <v>138261</v>
      </c>
      <c r="AP151" s="47">
        <f t="shared" si="88"/>
        <v>0.85009999999999997</v>
      </c>
      <c r="AQ151" s="47">
        <f t="shared" si="101"/>
        <v>8501</v>
      </c>
      <c r="AR151" s="47"/>
      <c r="AS151" s="47">
        <f t="shared" si="111"/>
        <v>1.3301000000000001</v>
      </c>
      <c r="AT151" s="47">
        <f t="shared" si="112"/>
        <v>1.0201</v>
      </c>
      <c r="AU151" s="47">
        <f t="shared" si="102"/>
        <v>10201</v>
      </c>
      <c r="AV151" s="47">
        <f t="shared" si="71"/>
        <v>0.31</v>
      </c>
      <c r="AW151" s="47">
        <f t="shared" si="103"/>
        <v>3100</v>
      </c>
      <c r="AX151" s="47">
        <f t="shared" si="109"/>
        <v>26.4148</v>
      </c>
      <c r="AY151" s="47"/>
      <c r="AZ151" s="47"/>
      <c r="BA151" s="54">
        <v>1E-4</v>
      </c>
      <c r="BB151" s="55" t="s">
        <v>278</v>
      </c>
      <c r="BC151" s="51">
        <f t="shared" si="104"/>
        <v>214.708</v>
      </c>
      <c r="BD151" s="47">
        <f t="shared" si="110"/>
        <v>29.279999999999998</v>
      </c>
      <c r="BE151" s="47">
        <f t="shared" si="105"/>
        <v>13.428000000000001</v>
      </c>
      <c r="BF151" s="47">
        <v>11190</v>
      </c>
      <c r="BG151" s="56">
        <v>172</v>
      </c>
      <c r="BH151" s="47"/>
      <c r="BI151" s="51">
        <f t="shared" si="89"/>
        <v>6.0830399999999996</v>
      </c>
      <c r="BJ151" s="51">
        <f t="shared" si="90"/>
        <v>4.4270399999999999</v>
      </c>
      <c r="BK151" s="47"/>
      <c r="BL151" s="47">
        <v>4.4270399999999999</v>
      </c>
      <c r="BM151" s="47"/>
      <c r="BN151" s="47"/>
      <c r="BO151" s="47"/>
      <c r="BP151" s="68">
        <v>1.6559999999999999</v>
      </c>
      <c r="BQ151" s="47"/>
      <c r="BR151" s="47"/>
      <c r="BS151" s="53"/>
      <c r="BT151" s="47"/>
      <c r="BU151" s="47"/>
      <c r="BV151" s="47"/>
      <c r="BW151" s="47"/>
      <c r="BX151" s="47">
        <v>12</v>
      </c>
      <c r="BY151" s="47"/>
      <c r="BZ151" s="47"/>
      <c r="CA151" s="47"/>
      <c r="CB151" s="54">
        <f t="shared" si="91"/>
        <v>530.55514000000005</v>
      </c>
      <c r="CC151" s="47">
        <v>48.45</v>
      </c>
      <c r="CD151" s="57"/>
      <c r="CE151" s="47"/>
      <c r="CF151" s="47">
        <f t="shared" si="85"/>
        <v>579.0051400000001</v>
      </c>
    </row>
    <row r="152" spans="1:84" ht="14.25" customHeight="1">
      <c r="A152" s="47">
        <v>145</v>
      </c>
      <c r="B152" s="47" t="s">
        <v>129</v>
      </c>
      <c r="C152" s="75">
        <v>201004</v>
      </c>
      <c r="D152" s="59" t="s">
        <v>279</v>
      </c>
      <c r="E152" s="59" t="s">
        <v>141</v>
      </c>
      <c r="F152" s="50">
        <f t="shared" si="92"/>
        <v>23</v>
      </c>
      <c r="G152" s="50">
        <v>5</v>
      </c>
      <c r="H152" s="50">
        <v>18</v>
      </c>
      <c r="I152" s="50"/>
      <c r="J152" s="50"/>
      <c r="K152" s="50"/>
      <c r="L152" s="50"/>
      <c r="M152" s="50"/>
      <c r="N152" s="50">
        <v>1</v>
      </c>
      <c r="O152" s="50">
        <f t="shared" si="93"/>
        <v>24</v>
      </c>
      <c r="P152" s="51">
        <f t="shared" si="86"/>
        <v>349.2518</v>
      </c>
      <c r="Q152" s="51">
        <f t="shared" si="87"/>
        <v>237.35180000000003</v>
      </c>
      <c r="R152" s="47">
        <f t="shared" si="94"/>
        <v>68946</v>
      </c>
      <c r="S152" s="58">
        <v>68946</v>
      </c>
      <c r="T152" s="58"/>
      <c r="U152" s="47">
        <f t="shared" si="95"/>
        <v>82.735200000000006</v>
      </c>
      <c r="V152" s="51">
        <f t="shared" si="2"/>
        <v>51.75</v>
      </c>
      <c r="W152" s="47">
        <f t="shared" si="96"/>
        <v>51.75</v>
      </c>
      <c r="X152" s="47"/>
      <c r="Y152" s="47"/>
      <c r="Z152" s="47"/>
      <c r="AA152" s="47"/>
      <c r="AB152" s="51">
        <f t="shared" si="65"/>
        <v>41.378999999999998</v>
      </c>
      <c r="AC152" s="47">
        <f t="shared" si="97"/>
        <v>6.8945999999999996</v>
      </c>
      <c r="AD152" s="47"/>
      <c r="AE152" s="47"/>
      <c r="AF152" s="47">
        <f t="shared" ref="AF152:AF162" si="113">ROUND(AG152*12/10000,4)</f>
        <v>34.484400000000001</v>
      </c>
      <c r="AG152" s="47">
        <v>28737</v>
      </c>
      <c r="AH152" s="47"/>
      <c r="AI152" s="47">
        <f t="shared" si="98"/>
        <v>0</v>
      </c>
      <c r="AJ152" s="53">
        <f t="shared" si="106"/>
        <v>28.138300000000001</v>
      </c>
      <c r="AK152" s="53">
        <f t="shared" si="99"/>
        <v>281383</v>
      </c>
      <c r="AL152" s="47"/>
      <c r="AM152" s="47">
        <f t="shared" si="107"/>
        <v>11.438700000000001</v>
      </c>
      <c r="AN152" s="47">
        <f t="shared" si="108"/>
        <v>10.766299999999999</v>
      </c>
      <c r="AO152" s="47">
        <f t="shared" si="100"/>
        <v>107663</v>
      </c>
      <c r="AP152" s="47">
        <f t="shared" si="88"/>
        <v>0.6724</v>
      </c>
      <c r="AQ152" s="47">
        <f t="shared" si="101"/>
        <v>6724</v>
      </c>
      <c r="AR152" s="47"/>
      <c r="AS152" s="47">
        <f t="shared" si="111"/>
        <v>0.80689999999999995</v>
      </c>
      <c r="AT152" s="47">
        <f t="shared" si="112"/>
        <v>0.80689999999999995</v>
      </c>
      <c r="AU152" s="47">
        <f t="shared" si="102"/>
        <v>8068.9999999999991</v>
      </c>
      <c r="AV152" s="47">
        <f t="shared" si="71"/>
        <v>0</v>
      </c>
      <c r="AW152" s="47">
        <f t="shared" si="103"/>
        <v>0</v>
      </c>
      <c r="AX152" s="47">
        <f t="shared" si="109"/>
        <v>21.1037</v>
      </c>
      <c r="AY152" s="47"/>
      <c r="AZ152" s="47"/>
      <c r="BA152" s="54">
        <v>1E-4</v>
      </c>
      <c r="BB152" s="54" t="s">
        <v>279</v>
      </c>
      <c r="BC152" s="51">
        <f t="shared" si="104"/>
        <v>111.9</v>
      </c>
      <c r="BD152" s="47">
        <f t="shared" si="110"/>
        <v>27.599999999999998</v>
      </c>
      <c r="BE152" s="47">
        <f t="shared" si="105"/>
        <v>13.8</v>
      </c>
      <c r="BF152" s="47">
        <v>11500</v>
      </c>
      <c r="BG152" s="56">
        <v>69</v>
      </c>
      <c r="BH152" s="47">
        <v>1.5</v>
      </c>
      <c r="BI152" s="51">
        <f t="shared" si="89"/>
        <v>0</v>
      </c>
      <c r="BJ152" s="51">
        <f t="shared" si="90"/>
        <v>0</v>
      </c>
      <c r="BK152" s="47"/>
      <c r="BL152" s="47"/>
      <c r="BM152" s="47"/>
      <c r="BN152" s="47"/>
      <c r="BO152" s="47"/>
      <c r="BP152" s="47"/>
      <c r="BQ152" s="47"/>
      <c r="BR152" s="47"/>
      <c r="BS152" s="53"/>
      <c r="BT152" s="47"/>
      <c r="BU152" s="47"/>
      <c r="BV152" s="47"/>
      <c r="BW152" s="47"/>
      <c r="BX152" s="47">
        <v>20</v>
      </c>
      <c r="BY152" s="47"/>
      <c r="BZ152" s="47"/>
      <c r="CA152" s="47"/>
      <c r="CB152" s="54">
        <f t="shared" si="91"/>
        <v>369.2518</v>
      </c>
      <c r="CC152" s="47"/>
      <c r="CD152" s="57"/>
      <c r="CE152" s="47"/>
      <c r="CF152" s="47">
        <f t="shared" si="85"/>
        <v>369.2518</v>
      </c>
    </row>
    <row r="153" spans="1:84" s="79" customFormat="1" ht="14.25" customHeight="1">
      <c r="A153" s="47">
        <v>146</v>
      </c>
      <c r="B153" s="77" t="s">
        <v>129</v>
      </c>
      <c r="C153" s="78">
        <v>201003</v>
      </c>
      <c r="D153" s="49" t="s">
        <v>280</v>
      </c>
      <c r="E153" s="49" t="s">
        <v>150</v>
      </c>
      <c r="F153" s="50">
        <f t="shared" si="92"/>
        <v>10</v>
      </c>
      <c r="G153" s="50"/>
      <c r="H153" s="50"/>
      <c r="I153" s="50">
        <v>6</v>
      </c>
      <c r="J153" s="50">
        <v>4</v>
      </c>
      <c r="K153" s="50"/>
      <c r="L153" s="50"/>
      <c r="M153" s="50"/>
      <c r="N153" s="50">
        <v>6</v>
      </c>
      <c r="O153" s="50">
        <f t="shared" si="93"/>
        <v>16</v>
      </c>
      <c r="P153" s="51">
        <f t="shared" si="86"/>
        <v>167.95</v>
      </c>
      <c r="Q153" s="51">
        <f t="shared" si="87"/>
        <v>116.202</v>
      </c>
      <c r="R153" s="47">
        <f t="shared" si="94"/>
        <v>37515</v>
      </c>
      <c r="S153" s="58"/>
      <c r="T153" s="58">
        <v>37515</v>
      </c>
      <c r="U153" s="47">
        <f t="shared" si="95"/>
        <v>45.018000000000001</v>
      </c>
      <c r="V153" s="51">
        <f t="shared" si="2"/>
        <v>0</v>
      </c>
      <c r="W153" s="47">
        <f t="shared" si="96"/>
        <v>0</v>
      </c>
      <c r="X153" s="47"/>
      <c r="Y153" s="47"/>
      <c r="Z153" s="47"/>
      <c r="AA153" s="47"/>
      <c r="AB153" s="51">
        <f t="shared" si="65"/>
        <v>14.4</v>
      </c>
      <c r="AC153" s="47">
        <f t="shared" si="97"/>
        <v>0</v>
      </c>
      <c r="AD153" s="47"/>
      <c r="AE153" s="47"/>
      <c r="AF153" s="47">
        <f t="shared" si="113"/>
        <v>14.4</v>
      </c>
      <c r="AG153" s="47">
        <v>12000</v>
      </c>
      <c r="AH153" s="47"/>
      <c r="AI153" s="47">
        <f t="shared" si="98"/>
        <v>25.9</v>
      </c>
      <c r="AJ153" s="53">
        <f t="shared" si="106"/>
        <v>13.6509</v>
      </c>
      <c r="AK153" s="53">
        <f t="shared" si="99"/>
        <v>136509</v>
      </c>
      <c r="AL153" s="47"/>
      <c r="AM153" s="47">
        <f t="shared" si="107"/>
        <v>6.0730000000000004</v>
      </c>
      <c r="AN153" s="47">
        <f t="shared" si="108"/>
        <v>5.7183999999999999</v>
      </c>
      <c r="AO153" s="47">
        <f t="shared" si="100"/>
        <v>57184</v>
      </c>
      <c r="AP153" s="47">
        <f t="shared" si="88"/>
        <v>0.35460000000000003</v>
      </c>
      <c r="AQ153" s="47">
        <f t="shared" si="101"/>
        <v>3546.0000000000005</v>
      </c>
      <c r="AR153" s="47"/>
      <c r="AS153" s="47">
        <f t="shared" si="111"/>
        <v>0.92190000000000005</v>
      </c>
      <c r="AT153" s="47">
        <f t="shared" si="112"/>
        <v>0.42549999999999999</v>
      </c>
      <c r="AU153" s="47">
        <f t="shared" si="102"/>
        <v>4255</v>
      </c>
      <c r="AV153" s="47">
        <f t="shared" si="71"/>
        <v>0.49640000000000001</v>
      </c>
      <c r="AW153" s="47">
        <f t="shared" si="103"/>
        <v>4964</v>
      </c>
      <c r="AX153" s="47">
        <f t="shared" si="109"/>
        <v>10.238200000000001</v>
      </c>
      <c r="AY153" s="47"/>
      <c r="AZ153" s="47"/>
      <c r="BA153" s="54">
        <v>1E-4</v>
      </c>
      <c r="BB153" s="55" t="s">
        <v>280</v>
      </c>
      <c r="BC153" s="51">
        <f t="shared" si="104"/>
        <v>49.6</v>
      </c>
      <c r="BD153" s="47">
        <f t="shared" si="110"/>
        <v>9.6</v>
      </c>
      <c r="BE153" s="47">
        <f t="shared" si="105"/>
        <v>0</v>
      </c>
      <c r="BF153" s="47"/>
      <c r="BG153" s="56">
        <v>40</v>
      </c>
      <c r="BH153" s="47"/>
      <c r="BI153" s="51">
        <f t="shared" si="89"/>
        <v>2.1480000000000001</v>
      </c>
      <c r="BJ153" s="51">
        <f t="shared" si="90"/>
        <v>0</v>
      </c>
      <c r="BK153" s="47"/>
      <c r="BL153" s="47"/>
      <c r="BM153" s="47"/>
      <c r="BN153" s="47"/>
      <c r="BO153" s="47"/>
      <c r="BP153" s="68">
        <v>2.1480000000000001</v>
      </c>
      <c r="BQ153" s="47"/>
      <c r="BR153" s="47"/>
      <c r="BS153" s="53"/>
      <c r="BT153" s="47"/>
      <c r="BU153" s="47"/>
      <c r="BV153" s="47"/>
      <c r="BW153" s="47"/>
      <c r="BX153" s="47"/>
      <c r="BY153" s="47"/>
      <c r="BZ153" s="47"/>
      <c r="CA153" s="47"/>
      <c r="CB153" s="54">
        <f t="shared" si="91"/>
        <v>167.95</v>
      </c>
      <c r="CC153" s="47"/>
      <c r="CD153" s="57"/>
      <c r="CE153" s="47"/>
      <c r="CF153" s="47">
        <f t="shared" si="85"/>
        <v>167.95</v>
      </c>
    </row>
    <row r="154" spans="1:84" ht="14.25" customHeight="1">
      <c r="A154" s="47">
        <v>147</v>
      </c>
      <c r="B154" s="47" t="s">
        <v>129</v>
      </c>
      <c r="C154" s="75">
        <v>201002</v>
      </c>
      <c r="D154" s="49" t="s">
        <v>281</v>
      </c>
      <c r="E154" s="49" t="s">
        <v>150</v>
      </c>
      <c r="F154" s="50">
        <f t="shared" si="92"/>
        <v>12</v>
      </c>
      <c r="G154" s="50"/>
      <c r="H154" s="50"/>
      <c r="I154" s="50">
        <v>8</v>
      </c>
      <c r="J154" s="50">
        <v>4</v>
      </c>
      <c r="K154" s="50"/>
      <c r="L154" s="50"/>
      <c r="M154" s="50"/>
      <c r="N154" s="50">
        <v>6</v>
      </c>
      <c r="O154" s="50">
        <f t="shared" si="93"/>
        <v>18</v>
      </c>
      <c r="P154" s="51">
        <f t="shared" si="86"/>
        <v>184.56155999999999</v>
      </c>
      <c r="Q154" s="51">
        <f t="shared" si="87"/>
        <v>132.04156</v>
      </c>
      <c r="R154" s="47">
        <f t="shared" si="94"/>
        <v>40547.800000000003</v>
      </c>
      <c r="S154" s="58"/>
      <c r="T154" s="58">
        <v>40547.800000000003</v>
      </c>
      <c r="U154" s="47">
        <f t="shared" si="95"/>
        <v>48.657359999999997</v>
      </c>
      <c r="V154" s="51">
        <f t="shared" si="2"/>
        <v>0</v>
      </c>
      <c r="W154" s="47">
        <f t="shared" si="96"/>
        <v>0</v>
      </c>
      <c r="X154" s="47"/>
      <c r="Y154" s="47"/>
      <c r="Z154" s="47"/>
      <c r="AA154" s="47"/>
      <c r="AB154" s="51">
        <f t="shared" si="65"/>
        <v>17.28</v>
      </c>
      <c r="AC154" s="47">
        <f t="shared" si="97"/>
        <v>0</v>
      </c>
      <c r="AD154" s="47"/>
      <c r="AE154" s="47"/>
      <c r="AF154" s="47">
        <f t="shared" si="113"/>
        <v>17.28</v>
      </c>
      <c r="AG154" s="47">
        <v>14400</v>
      </c>
      <c r="AH154" s="47"/>
      <c r="AI154" s="47">
        <f t="shared" si="98"/>
        <v>31.08</v>
      </c>
      <c r="AJ154" s="53">
        <f t="shared" si="106"/>
        <v>15.5228</v>
      </c>
      <c r="AK154" s="53">
        <f t="shared" si="99"/>
        <v>155228</v>
      </c>
      <c r="AL154" s="47"/>
      <c r="AM154" s="47">
        <f t="shared" si="107"/>
        <v>6.8227000000000002</v>
      </c>
      <c r="AN154" s="47">
        <f t="shared" si="108"/>
        <v>6.4240000000000004</v>
      </c>
      <c r="AO154" s="47">
        <f t="shared" si="100"/>
        <v>64240.000000000007</v>
      </c>
      <c r="AP154" s="47">
        <f t="shared" si="88"/>
        <v>0.3987</v>
      </c>
      <c r="AQ154" s="47">
        <f t="shared" si="101"/>
        <v>3987</v>
      </c>
      <c r="AR154" s="47"/>
      <c r="AS154" s="47">
        <f t="shared" si="111"/>
        <v>1.0366</v>
      </c>
      <c r="AT154" s="47">
        <f t="shared" si="112"/>
        <v>0.47839999999999999</v>
      </c>
      <c r="AU154" s="47">
        <f t="shared" si="102"/>
        <v>4784</v>
      </c>
      <c r="AV154" s="47">
        <f t="shared" si="71"/>
        <v>0.55820000000000003</v>
      </c>
      <c r="AW154" s="47">
        <f t="shared" si="103"/>
        <v>5582</v>
      </c>
      <c r="AX154" s="47">
        <f t="shared" si="109"/>
        <v>11.642099999999999</v>
      </c>
      <c r="AY154" s="47"/>
      <c r="AZ154" s="47"/>
      <c r="BA154" s="54">
        <v>1E-4</v>
      </c>
      <c r="BB154" s="55" t="s">
        <v>281</v>
      </c>
      <c r="BC154" s="51">
        <f t="shared" si="104"/>
        <v>52.519999999999996</v>
      </c>
      <c r="BD154" s="47">
        <f t="shared" si="110"/>
        <v>11.52</v>
      </c>
      <c r="BE154" s="47">
        <f t="shared" si="105"/>
        <v>0</v>
      </c>
      <c r="BF154" s="47"/>
      <c r="BG154" s="56">
        <v>41</v>
      </c>
      <c r="BH154" s="47"/>
      <c r="BI154" s="51">
        <f t="shared" si="89"/>
        <v>0</v>
      </c>
      <c r="BJ154" s="51">
        <f t="shared" si="90"/>
        <v>0</v>
      </c>
      <c r="BK154" s="47"/>
      <c r="BL154" s="47"/>
      <c r="BM154" s="47"/>
      <c r="BN154" s="47"/>
      <c r="BO154" s="47"/>
      <c r="BP154" s="47"/>
      <c r="BQ154" s="47"/>
      <c r="BR154" s="47"/>
      <c r="BS154" s="53"/>
      <c r="BT154" s="47"/>
      <c r="BU154" s="47"/>
      <c r="BV154" s="47"/>
      <c r="BW154" s="47"/>
      <c r="BX154" s="47"/>
      <c r="BY154" s="47"/>
      <c r="BZ154" s="47"/>
      <c r="CA154" s="47"/>
      <c r="CB154" s="54">
        <f t="shared" si="91"/>
        <v>184.56155999999999</v>
      </c>
      <c r="CC154" s="47"/>
      <c r="CD154" s="57"/>
      <c r="CE154" s="47"/>
      <c r="CF154" s="47">
        <f t="shared" si="85"/>
        <v>184.56155999999999</v>
      </c>
    </row>
    <row r="155" spans="1:84" ht="14.25" customHeight="1">
      <c r="A155" s="47">
        <v>148</v>
      </c>
      <c r="B155" s="47" t="s">
        <v>129</v>
      </c>
      <c r="C155" s="75">
        <v>201005</v>
      </c>
      <c r="D155" s="49" t="s">
        <v>282</v>
      </c>
      <c r="E155" s="49" t="s">
        <v>150</v>
      </c>
      <c r="F155" s="50">
        <f t="shared" si="92"/>
        <v>6</v>
      </c>
      <c r="G155" s="50"/>
      <c r="H155" s="50"/>
      <c r="I155" s="50">
        <v>5</v>
      </c>
      <c r="J155" s="50">
        <v>1</v>
      </c>
      <c r="K155" s="50"/>
      <c r="L155" s="50"/>
      <c r="M155" s="50"/>
      <c r="N155" s="50"/>
      <c r="O155" s="50">
        <f t="shared" si="93"/>
        <v>6</v>
      </c>
      <c r="P155" s="51">
        <f t="shared" si="86"/>
        <v>98.235500000000002</v>
      </c>
      <c r="Q155" s="51">
        <f t="shared" si="87"/>
        <v>68.475500000000011</v>
      </c>
      <c r="R155" s="47">
        <f t="shared" si="94"/>
        <v>21772</v>
      </c>
      <c r="S155" s="58"/>
      <c r="T155" s="58">
        <v>21772</v>
      </c>
      <c r="U155" s="47">
        <f t="shared" si="95"/>
        <v>26.1264</v>
      </c>
      <c r="V155" s="51">
        <f t="shared" si="2"/>
        <v>0</v>
      </c>
      <c r="W155" s="47">
        <f t="shared" si="96"/>
        <v>0</v>
      </c>
      <c r="X155" s="47"/>
      <c r="Y155" s="47"/>
      <c r="Z155" s="47"/>
      <c r="AA155" s="47"/>
      <c r="AB155" s="51">
        <f t="shared" si="65"/>
        <v>8.64</v>
      </c>
      <c r="AC155" s="47">
        <f t="shared" si="97"/>
        <v>0</v>
      </c>
      <c r="AD155" s="47"/>
      <c r="AE155" s="47"/>
      <c r="AF155" s="47">
        <f t="shared" si="113"/>
        <v>8.64</v>
      </c>
      <c r="AG155" s="47">
        <v>7200</v>
      </c>
      <c r="AH155" s="47"/>
      <c r="AI155" s="47">
        <f t="shared" si="98"/>
        <v>15.54</v>
      </c>
      <c r="AJ155" s="53">
        <f t="shared" si="106"/>
        <v>8.0489999999999995</v>
      </c>
      <c r="AK155" s="53">
        <f t="shared" si="99"/>
        <v>80490</v>
      </c>
      <c r="AL155" s="47"/>
      <c r="AM155" s="47">
        <f t="shared" si="107"/>
        <v>3.5415999999999999</v>
      </c>
      <c r="AN155" s="47">
        <f t="shared" si="108"/>
        <v>3.3332999999999999</v>
      </c>
      <c r="AO155" s="47">
        <f t="shared" si="100"/>
        <v>33333</v>
      </c>
      <c r="AP155" s="47">
        <f t="shared" si="88"/>
        <v>0.20830000000000001</v>
      </c>
      <c r="AQ155" s="47">
        <f t="shared" si="101"/>
        <v>2083</v>
      </c>
      <c r="AR155" s="47"/>
      <c r="AS155" s="47">
        <f t="shared" si="111"/>
        <v>0.54169999999999996</v>
      </c>
      <c r="AT155" s="47">
        <f t="shared" si="112"/>
        <v>0.25</v>
      </c>
      <c r="AU155" s="47">
        <f t="shared" si="102"/>
        <v>2500</v>
      </c>
      <c r="AV155" s="47">
        <f t="shared" si="71"/>
        <v>0.29170000000000001</v>
      </c>
      <c r="AW155" s="47">
        <f t="shared" si="103"/>
        <v>2917</v>
      </c>
      <c r="AX155" s="47">
        <f t="shared" si="109"/>
        <v>6.0368000000000004</v>
      </c>
      <c r="AY155" s="47"/>
      <c r="AZ155" s="47"/>
      <c r="BA155" s="54">
        <v>1E-4</v>
      </c>
      <c r="BB155" s="55" t="s">
        <v>282</v>
      </c>
      <c r="BC155" s="51">
        <f t="shared" si="104"/>
        <v>29.759999999999998</v>
      </c>
      <c r="BD155" s="47">
        <f t="shared" si="110"/>
        <v>5.76</v>
      </c>
      <c r="BE155" s="47">
        <f t="shared" si="105"/>
        <v>0</v>
      </c>
      <c r="BF155" s="47"/>
      <c r="BG155" s="56">
        <v>24</v>
      </c>
      <c r="BH155" s="47"/>
      <c r="BI155" s="51">
        <f t="shared" si="89"/>
        <v>0</v>
      </c>
      <c r="BJ155" s="51">
        <f t="shared" si="90"/>
        <v>0</v>
      </c>
      <c r="BK155" s="47"/>
      <c r="BL155" s="47"/>
      <c r="BM155" s="47"/>
      <c r="BN155" s="47"/>
      <c r="BO155" s="47"/>
      <c r="BP155" s="47"/>
      <c r="BQ155" s="47"/>
      <c r="BR155" s="47"/>
      <c r="BS155" s="53"/>
      <c r="BT155" s="47"/>
      <c r="BU155" s="47"/>
      <c r="BV155" s="47"/>
      <c r="BW155" s="47"/>
      <c r="BX155" s="47"/>
      <c r="BY155" s="47"/>
      <c r="BZ155" s="47"/>
      <c r="CA155" s="47"/>
      <c r="CB155" s="54">
        <f t="shared" si="91"/>
        <v>98.235500000000002</v>
      </c>
      <c r="CC155" s="47"/>
      <c r="CD155" s="57"/>
      <c r="CE155" s="47"/>
      <c r="CF155" s="47">
        <f t="shared" si="85"/>
        <v>98.235500000000002</v>
      </c>
    </row>
    <row r="156" spans="1:84" ht="14.25" customHeight="1">
      <c r="A156" s="47">
        <v>149</v>
      </c>
      <c r="B156" s="47" t="s">
        <v>129</v>
      </c>
      <c r="C156" s="75">
        <v>201006</v>
      </c>
      <c r="D156" s="49" t="s">
        <v>283</v>
      </c>
      <c r="E156" s="49" t="s">
        <v>150</v>
      </c>
      <c r="F156" s="50">
        <f t="shared" si="92"/>
        <v>8</v>
      </c>
      <c r="G156" s="50"/>
      <c r="H156" s="50"/>
      <c r="I156" s="50">
        <v>5</v>
      </c>
      <c r="J156" s="50">
        <v>3</v>
      </c>
      <c r="K156" s="50"/>
      <c r="L156" s="50"/>
      <c r="M156" s="50"/>
      <c r="N156" s="50"/>
      <c r="O156" s="50">
        <f t="shared" si="93"/>
        <v>8</v>
      </c>
      <c r="P156" s="51">
        <f t="shared" si="86"/>
        <v>119.1532</v>
      </c>
      <c r="Q156" s="51">
        <f t="shared" si="87"/>
        <v>86.473200000000006</v>
      </c>
      <c r="R156" s="47">
        <f t="shared" si="94"/>
        <v>26110</v>
      </c>
      <c r="S156" s="58"/>
      <c r="T156" s="58">
        <v>26110</v>
      </c>
      <c r="U156" s="47">
        <f t="shared" si="95"/>
        <v>31.332000000000001</v>
      </c>
      <c r="V156" s="51">
        <f t="shared" si="2"/>
        <v>0</v>
      </c>
      <c r="W156" s="47">
        <f t="shared" si="96"/>
        <v>0</v>
      </c>
      <c r="X156" s="47"/>
      <c r="Y156" s="47"/>
      <c r="Z156" s="47"/>
      <c r="AA156" s="47"/>
      <c r="AB156" s="51">
        <f t="shared" si="65"/>
        <v>11.52</v>
      </c>
      <c r="AC156" s="47">
        <f t="shared" si="97"/>
        <v>0</v>
      </c>
      <c r="AD156" s="47"/>
      <c r="AE156" s="47"/>
      <c r="AF156" s="47">
        <f t="shared" si="113"/>
        <v>11.52</v>
      </c>
      <c r="AG156" s="47">
        <v>9600</v>
      </c>
      <c r="AH156" s="47"/>
      <c r="AI156" s="47">
        <f t="shared" si="98"/>
        <v>20.72</v>
      </c>
      <c r="AJ156" s="53">
        <f t="shared" si="106"/>
        <v>10.1715</v>
      </c>
      <c r="AK156" s="53">
        <f t="shared" si="99"/>
        <v>101715</v>
      </c>
      <c r="AL156" s="47"/>
      <c r="AM156" s="47">
        <f t="shared" si="107"/>
        <v>4.4244000000000003</v>
      </c>
      <c r="AN156" s="47">
        <f t="shared" si="108"/>
        <v>4.1642000000000001</v>
      </c>
      <c r="AO156" s="47">
        <f t="shared" si="100"/>
        <v>41642</v>
      </c>
      <c r="AP156" s="47">
        <f t="shared" si="88"/>
        <v>0.26029999999999998</v>
      </c>
      <c r="AQ156" s="47">
        <f t="shared" si="101"/>
        <v>2602.9999999999995</v>
      </c>
      <c r="AR156" s="47"/>
      <c r="AS156" s="47">
        <f t="shared" si="111"/>
        <v>0.67669999999999997</v>
      </c>
      <c r="AT156" s="47">
        <f t="shared" si="112"/>
        <v>0.31230000000000002</v>
      </c>
      <c r="AU156" s="47">
        <f t="shared" si="102"/>
        <v>3123</v>
      </c>
      <c r="AV156" s="47">
        <f t="shared" si="71"/>
        <v>0.3644</v>
      </c>
      <c r="AW156" s="47">
        <f t="shared" si="103"/>
        <v>3644</v>
      </c>
      <c r="AX156" s="47">
        <f t="shared" si="109"/>
        <v>7.6285999999999996</v>
      </c>
      <c r="AY156" s="47"/>
      <c r="AZ156" s="47"/>
      <c r="BA156" s="54">
        <v>1E-4</v>
      </c>
      <c r="BB156" s="55" t="s">
        <v>283</v>
      </c>
      <c r="BC156" s="51">
        <f t="shared" si="104"/>
        <v>32.68</v>
      </c>
      <c r="BD156" s="47">
        <f t="shared" si="110"/>
        <v>7.68</v>
      </c>
      <c r="BE156" s="47">
        <f t="shared" si="105"/>
        <v>0</v>
      </c>
      <c r="BF156" s="47"/>
      <c r="BG156" s="56">
        <v>25</v>
      </c>
      <c r="BH156" s="47"/>
      <c r="BI156" s="51">
        <f t="shared" si="89"/>
        <v>0</v>
      </c>
      <c r="BJ156" s="51">
        <f t="shared" si="90"/>
        <v>0</v>
      </c>
      <c r="BK156" s="47"/>
      <c r="BL156" s="47"/>
      <c r="BM156" s="47"/>
      <c r="BN156" s="47"/>
      <c r="BO156" s="47"/>
      <c r="BP156" s="47"/>
      <c r="BQ156" s="47"/>
      <c r="BR156" s="47"/>
      <c r="BS156" s="53"/>
      <c r="BT156" s="47"/>
      <c r="BU156" s="47"/>
      <c r="BV156" s="47"/>
      <c r="BW156" s="47"/>
      <c r="BX156" s="47"/>
      <c r="BY156" s="47"/>
      <c r="BZ156" s="47"/>
      <c r="CA156" s="47"/>
      <c r="CB156" s="54">
        <f t="shared" si="91"/>
        <v>119.1532</v>
      </c>
      <c r="CC156" s="47"/>
      <c r="CD156" s="57"/>
      <c r="CE156" s="47"/>
      <c r="CF156" s="47">
        <f t="shared" si="85"/>
        <v>119.1532</v>
      </c>
    </row>
    <row r="157" spans="1:84" ht="14.25" customHeight="1">
      <c r="A157" s="47">
        <v>150</v>
      </c>
      <c r="B157" s="47" t="s">
        <v>129</v>
      </c>
      <c r="C157" s="75">
        <v>204001</v>
      </c>
      <c r="D157" s="49" t="s">
        <v>284</v>
      </c>
      <c r="E157" s="49" t="s">
        <v>150</v>
      </c>
      <c r="F157" s="50">
        <f t="shared" si="92"/>
        <v>43</v>
      </c>
      <c r="G157" s="50"/>
      <c r="H157" s="50"/>
      <c r="I157" s="50">
        <v>28</v>
      </c>
      <c r="J157" s="50">
        <v>15</v>
      </c>
      <c r="K157" s="50"/>
      <c r="L157" s="50"/>
      <c r="M157" s="50"/>
      <c r="N157" s="50">
        <v>16</v>
      </c>
      <c r="O157" s="50">
        <f t="shared" si="93"/>
        <v>59</v>
      </c>
      <c r="P157" s="51">
        <f t="shared" si="86"/>
        <v>657.7152000000001</v>
      </c>
      <c r="Q157" s="51">
        <f t="shared" si="87"/>
        <v>491.43520000000007</v>
      </c>
      <c r="R157" s="47">
        <f t="shared" si="94"/>
        <v>132795</v>
      </c>
      <c r="S157" s="58"/>
      <c r="T157" s="58">
        <v>132795</v>
      </c>
      <c r="U157" s="47">
        <f t="shared" si="95"/>
        <v>159.35400000000001</v>
      </c>
      <c r="V157" s="51">
        <f t="shared" si="2"/>
        <v>0</v>
      </c>
      <c r="W157" s="47">
        <f t="shared" si="96"/>
        <v>0</v>
      </c>
      <c r="X157" s="47"/>
      <c r="Y157" s="47"/>
      <c r="Z157" s="47"/>
      <c r="AA157" s="47"/>
      <c r="AB157" s="51">
        <f t="shared" ref="AB157:AB159" si="114">SUM(AC157:AF157)</f>
        <v>61.92</v>
      </c>
      <c r="AC157" s="47">
        <f t="shared" si="97"/>
        <v>0</v>
      </c>
      <c r="AD157" s="47"/>
      <c r="AE157" s="47"/>
      <c r="AF157" s="47">
        <f t="shared" si="113"/>
        <v>61.92</v>
      </c>
      <c r="AG157" s="47">
        <v>51600</v>
      </c>
      <c r="AH157" s="47"/>
      <c r="AI157" s="47">
        <f t="shared" si="98"/>
        <v>111.37</v>
      </c>
      <c r="AJ157" s="53">
        <f t="shared" si="106"/>
        <v>53.222999999999999</v>
      </c>
      <c r="AK157" s="53">
        <f t="shared" si="99"/>
        <v>532230</v>
      </c>
      <c r="AL157" s="47"/>
      <c r="AM157" s="47">
        <f t="shared" si="107"/>
        <v>23.131499999999999</v>
      </c>
      <c r="AN157" s="47">
        <f t="shared" si="108"/>
        <v>21.777899999999999</v>
      </c>
      <c r="AO157" s="47">
        <f t="shared" si="100"/>
        <v>217779</v>
      </c>
      <c r="AP157" s="47">
        <f t="shared" si="88"/>
        <v>1.3535999999999999</v>
      </c>
      <c r="AQ157" s="47">
        <f t="shared" si="101"/>
        <v>13536</v>
      </c>
      <c r="AR157" s="47"/>
      <c r="AS157" s="47">
        <f t="shared" si="111"/>
        <v>3.5194000000000001</v>
      </c>
      <c r="AT157" s="47">
        <f t="shared" si="112"/>
        <v>1.6243000000000001</v>
      </c>
      <c r="AU157" s="47">
        <f t="shared" si="102"/>
        <v>16243</v>
      </c>
      <c r="AV157" s="47">
        <f t="shared" si="71"/>
        <v>1.8951</v>
      </c>
      <c r="AW157" s="47">
        <f t="shared" si="103"/>
        <v>18951</v>
      </c>
      <c r="AX157" s="47">
        <f t="shared" si="109"/>
        <v>39.917299999999997</v>
      </c>
      <c r="AY157" s="47"/>
      <c r="AZ157" s="67">
        <v>39</v>
      </c>
      <c r="BA157" s="54">
        <v>1E-4</v>
      </c>
      <c r="BB157" s="55" t="s">
        <v>284</v>
      </c>
      <c r="BC157" s="51">
        <f t="shared" si="104"/>
        <v>166.28</v>
      </c>
      <c r="BD157" s="47">
        <f t="shared" si="110"/>
        <v>41.28</v>
      </c>
      <c r="BE157" s="47">
        <f t="shared" si="105"/>
        <v>0</v>
      </c>
      <c r="BF157" s="47"/>
      <c r="BG157" s="56">
        <v>125</v>
      </c>
      <c r="BH157" s="47"/>
      <c r="BI157" s="51">
        <f t="shared" si="89"/>
        <v>0</v>
      </c>
      <c r="BJ157" s="51">
        <f t="shared" si="90"/>
        <v>0</v>
      </c>
      <c r="BK157" s="47"/>
      <c r="BL157" s="47"/>
      <c r="BM157" s="47"/>
      <c r="BN157" s="47"/>
      <c r="BO157" s="47"/>
      <c r="BP157" s="47"/>
      <c r="BQ157" s="47"/>
      <c r="BR157" s="47"/>
      <c r="BS157" s="53"/>
      <c r="BT157" s="47"/>
      <c r="BU157" s="47"/>
      <c r="BV157" s="47"/>
      <c r="BW157" s="47"/>
      <c r="BX157" s="47">
        <f>222.2+17.98</f>
        <v>240.17999999999998</v>
      </c>
      <c r="BY157" s="47">
        <v>25.2</v>
      </c>
      <c r="BZ157" s="47"/>
      <c r="CA157" s="47"/>
      <c r="CB157" s="54">
        <f t="shared" si="91"/>
        <v>923.09520000000009</v>
      </c>
      <c r="CC157" s="47"/>
      <c r="CD157" s="57"/>
      <c r="CE157" s="47"/>
      <c r="CF157" s="47">
        <f t="shared" si="85"/>
        <v>923.09520000000009</v>
      </c>
    </row>
    <row r="158" spans="1:84">
      <c r="A158" s="47">
        <v>151</v>
      </c>
      <c r="B158" s="47" t="s">
        <v>129</v>
      </c>
      <c r="C158" s="75">
        <v>203001</v>
      </c>
      <c r="D158" s="49" t="s">
        <v>285</v>
      </c>
      <c r="E158" s="49" t="s">
        <v>141</v>
      </c>
      <c r="F158" s="50">
        <f t="shared" si="92"/>
        <v>11</v>
      </c>
      <c r="G158" s="50">
        <v>10</v>
      </c>
      <c r="H158" s="50">
        <v>1</v>
      </c>
      <c r="I158" s="50"/>
      <c r="J158" s="50"/>
      <c r="K158" s="50"/>
      <c r="L158" s="50"/>
      <c r="M158" s="50"/>
      <c r="N158" s="50">
        <v>9</v>
      </c>
      <c r="O158" s="50">
        <f t="shared" si="93"/>
        <v>20</v>
      </c>
      <c r="P158" s="51">
        <f t="shared" si="86"/>
        <v>182.94979999999998</v>
      </c>
      <c r="Q158" s="51">
        <f t="shared" si="87"/>
        <v>131.7098</v>
      </c>
      <c r="R158" s="47">
        <f t="shared" si="94"/>
        <v>41193</v>
      </c>
      <c r="S158" s="58">
        <v>41193</v>
      </c>
      <c r="T158" s="58"/>
      <c r="U158" s="47">
        <f t="shared" si="95"/>
        <v>49.431600000000003</v>
      </c>
      <c r="V158" s="51">
        <f t="shared" si="2"/>
        <v>24.75</v>
      </c>
      <c r="W158" s="47">
        <f t="shared" si="96"/>
        <v>24.75</v>
      </c>
      <c r="X158" s="47"/>
      <c r="Y158" s="47"/>
      <c r="Z158" s="47"/>
      <c r="AA158" s="47"/>
      <c r="AB158" s="51">
        <f t="shared" si="114"/>
        <v>23.3901</v>
      </c>
      <c r="AC158" s="47">
        <f t="shared" si="97"/>
        <v>4.1193</v>
      </c>
      <c r="AD158" s="47"/>
      <c r="AE158" s="47"/>
      <c r="AF158" s="47">
        <f t="shared" si="113"/>
        <v>19.270800000000001</v>
      </c>
      <c r="AG158" s="47">
        <v>16059</v>
      </c>
      <c r="AH158" s="47"/>
      <c r="AI158" s="47">
        <f t="shared" si="98"/>
        <v>0</v>
      </c>
      <c r="AJ158" s="53">
        <f t="shared" si="106"/>
        <v>15.611499999999999</v>
      </c>
      <c r="AK158" s="53">
        <f t="shared" si="99"/>
        <v>156115</v>
      </c>
      <c r="AL158" s="47"/>
      <c r="AM158" s="47">
        <f t="shared" si="107"/>
        <v>6.3728999999999996</v>
      </c>
      <c r="AN158" s="47">
        <f t="shared" si="108"/>
        <v>6.0019999999999998</v>
      </c>
      <c r="AO158" s="47">
        <f t="shared" si="100"/>
        <v>60020</v>
      </c>
      <c r="AP158" s="47">
        <f t="shared" si="88"/>
        <v>0.37090000000000001</v>
      </c>
      <c r="AQ158" s="47">
        <f t="shared" si="101"/>
        <v>3709</v>
      </c>
      <c r="AR158" s="47"/>
      <c r="AS158" s="47">
        <f t="shared" si="111"/>
        <v>0.4451</v>
      </c>
      <c r="AT158" s="47">
        <f t="shared" si="112"/>
        <v>0.4451</v>
      </c>
      <c r="AU158" s="47">
        <f t="shared" si="102"/>
        <v>4451</v>
      </c>
      <c r="AV158" s="47">
        <f t="shared" si="71"/>
        <v>0</v>
      </c>
      <c r="AW158" s="47">
        <f t="shared" si="103"/>
        <v>0</v>
      </c>
      <c r="AX158" s="47">
        <f t="shared" si="109"/>
        <v>11.708600000000001</v>
      </c>
      <c r="AY158" s="47"/>
      <c r="AZ158" s="47"/>
      <c r="BA158" s="54">
        <v>1E-4</v>
      </c>
      <c r="BB158" s="55" t="s">
        <v>285</v>
      </c>
      <c r="BC158" s="51">
        <f t="shared" si="104"/>
        <v>51.239999999999995</v>
      </c>
      <c r="BD158" s="47">
        <f t="shared" si="110"/>
        <v>13.2</v>
      </c>
      <c r="BE158" s="47">
        <f t="shared" si="105"/>
        <v>8.0399999999999991</v>
      </c>
      <c r="BF158" s="47">
        <v>6700</v>
      </c>
      <c r="BG158" s="56">
        <v>30</v>
      </c>
      <c r="BH158" s="47"/>
      <c r="BI158" s="51">
        <f t="shared" si="89"/>
        <v>0</v>
      </c>
      <c r="BJ158" s="51">
        <f t="shared" si="90"/>
        <v>0</v>
      </c>
      <c r="BK158" s="47"/>
      <c r="BL158" s="47"/>
      <c r="BM158" s="47"/>
      <c r="BN158" s="47"/>
      <c r="BO158" s="47"/>
      <c r="BP158" s="47"/>
      <c r="BQ158" s="47"/>
      <c r="BR158" s="47"/>
      <c r="BS158" s="53"/>
      <c r="BT158" s="47"/>
      <c r="BU158" s="47"/>
      <c r="BV158" s="47"/>
      <c r="BW158" s="47"/>
      <c r="BX158" s="47">
        <v>66</v>
      </c>
      <c r="BY158" s="47"/>
      <c r="BZ158" s="47"/>
      <c r="CA158" s="47"/>
      <c r="CB158" s="54">
        <f t="shared" si="91"/>
        <v>248.94979999999998</v>
      </c>
      <c r="CC158" s="47"/>
      <c r="CD158" s="57"/>
      <c r="CE158" s="47"/>
      <c r="CF158" s="47">
        <f t="shared" si="85"/>
        <v>248.94979999999998</v>
      </c>
    </row>
    <row r="159" spans="1:84">
      <c r="A159" s="47">
        <v>152</v>
      </c>
      <c r="B159" s="47" t="s">
        <v>129</v>
      </c>
      <c r="C159" s="75">
        <v>206001</v>
      </c>
      <c r="D159" s="49" t="s">
        <v>286</v>
      </c>
      <c r="E159" s="49" t="s">
        <v>150</v>
      </c>
      <c r="F159" s="50">
        <f t="shared" si="92"/>
        <v>29</v>
      </c>
      <c r="G159" s="50"/>
      <c r="H159" s="50"/>
      <c r="I159" s="50">
        <v>8</v>
      </c>
      <c r="J159" s="50">
        <v>21</v>
      </c>
      <c r="K159" s="50"/>
      <c r="L159" s="50"/>
      <c r="M159" s="50"/>
      <c r="N159" s="50">
        <v>7</v>
      </c>
      <c r="O159" s="50">
        <f t="shared" si="93"/>
        <v>36</v>
      </c>
      <c r="P159" s="51">
        <f t="shared" si="86"/>
        <v>392.76139999999998</v>
      </c>
      <c r="Q159" s="51">
        <f t="shared" si="87"/>
        <v>324.92139999999995</v>
      </c>
      <c r="R159" s="47">
        <f t="shared" si="94"/>
        <v>102659.5</v>
      </c>
      <c r="S159" s="58"/>
      <c r="T159" s="58">
        <v>102659.5</v>
      </c>
      <c r="U159" s="47">
        <f t="shared" si="95"/>
        <v>123.1914</v>
      </c>
      <c r="V159" s="51"/>
      <c r="W159" s="47">
        <f t="shared" si="96"/>
        <v>0</v>
      </c>
      <c r="X159" s="47"/>
      <c r="Y159" s="47"/>
      <c r="Z159" s="47"/>
      <c r="AA159" s="47"/>
      <c r="AB159" s="51">
        <f t="shared" si="114"/>
        <v>40.32</v>
      </c>
      <c r="AC159" s="47">
        <f t="shared" si="97"/>
        <v>0</v>
      </c>
      <c r="AD159" s="47"/>
      <c r="AE159" s="47"/>
      <c r="AF159" s="47">
        <f t="shared" si="113"/>
        <v>40.32</v>
      </c>
      <c r="AG159" s="47">
        <v>33600</v>
      </c>
      <c r="AH159" s="47"/>
      <c r="AI159" s="47">
        <f t="shared" si="98"/>
        <v>75.11</v>
      </c>
      <c r="AJ159" s="53">
        <f t="shared" si="106"/>
        <v>38.179400000000001</v>
      </c>
      <c r="AK159" s="53">
        <f t="shared" si="99"/>
        <v>381794</v>
      </c>
      <c r="AL159" s="47"/>
      <c r="AM159" s="47">
        <f t="shared" si="107"/>
        <v>16.908100000000001</v>
      </c>
      <c r="AN159" s="47">
        <f t="shared" si="108"/>
        <v>15.916600000000001</v>
      </c>
      <c r="AO159" s="47">
        <f t="shared" si="100"/>
        <v>159166</v>
      </c>
      <c r="AP159" s="47">
        <f t="shared" si="88"/>
        <v>0.99150000000000005</v>
      </c>
      <c r="AQ159" s="47">
        <f t="shared" si="101"/>
        <v>9915</v>
      </c>
      <c r="AR159" s="47"/>
      <c r="AS159" s="47">
        <f t="shared" si="111"/>
        <v>2.5779000000000001</v>
      </c>
      <c r="AT159" s="47">
        <f t="shared" si="112"/>
        <v>1.1898</v>
      </c>
      <c r="AU159" s="47">
        <f t="shared" si="102"/>
        <v>11898</v>
      </c>
      <c r="AV159" s="47">
        <f t="shared" si="71"/>
        <v>1.3880999999999999</v>
      </c>
      <c r="AW159" s="47">
        <f t="shared" si="103"/>
        <v>13880.999999999998</v>
      </c>
      <c r="AX159" s="47">
        <f t="shared" si="109"/>
        <v>28.634599999999999</v>
      </c>
      <c r="AY159" s="47"/>
      <c r="AZ159" s="47"/>
      <c r="BA159" s="54"/>
      <c r="BB159" s="49" t="s">
        <v>286</v>
      </c>
      <c r="BC159" s="51">
        <f t="shared" si="104"/>
        <v>67.84</v>
      </c>
      <c r="BD159" s="47">
        <f t="shared" si="110"/>
        <v>27.84</v>
      </c>
      <c r="BE159" s="47">
        <f t="shared" si="105"/>
        <v>0</v>
      </c>
      <c r="BF159" s="47"/>
      <c r="BG159" s="56">
        <v>40</v>
      </c>
      <c r="BH159" s="47"/>
      <c r="BI159" s="51">
        <f t="shared" si="89"/>
        <v>0</v>
      </c>
      <c r="BJ159" s="51">
        <f t="shared" si="90"/>
        <v>0</v>
      </c>
      <c r="BK159" s="47"/>
      <c r="BL159" s="47"/>
      <c r="BM159" s="47"/>
      <c r="BN159" s="47"/>
      <c r="BO159" s="47"/>
      <c r="BP159" s="47"/>
      <c r="BQ159" s="47"/>
      <c r="BR159" s="47"/>
      <c r="BS159" s="53"/>
      <c r="BT159" s="47"/>
      <c r="BU159" s="47"/>
      <c r="BV159" s="47"/>
      <c r="BW159" s="47"/>
      <c r="BX159" s="47">
        <v>60</v>
      </c>
      <c r="BY159" s="47"/>
      <c r="BZ159" s="47"/>
      <c r="CA159" s="47"/>
      <c r="CB159" s="54">
        <f t="shared" si="91"/>
        <v>452.76139999999998</v>
      </c>
      <c r="CC159" s="47"/>
      <c r="CD159" s="57"/>
      <c r="CE159" s="47"/>
      <c r="CF159" s="47">
        <f t="shared" si="85"/>
        <v>452.76139999999998</v>
      </c>
    </row>
    <row r="160" spans="1:84">
      <c r="A160" s="47">
        <v>153</v>
      </c>
      <c r="B160" s="47"/>
      <c r="C160" s="75"/>
      <c r="D160" s="49" t="s">
        <v>287</v>
      </c>
      <c r="E160" s="49"/>
      <c r="F160" s="50">
        <f>SUM(F8:F159)</f>
        <v>12097</v>
      </c>
      <c r="G160" s="50">
        <f t="shared" ref="G160:BS160" si="115">SUM(G8:G159)</f>
        <v>2205</v>
      </c>
      <c r="H160" s="50">
        <f t="shared" si="115"/>
        <v>311</v>
      </c>
      <c r="I160" s="50">
        <f t="shared" si="115"/>
        <v>8908</v>
      </c>
      <c r="J160" s="50">
        <f t="shared" si="115"/>
        <v>496</v>
      </c>
      <c r="K160" s="50">
        <f t="shared" si="115"/>
        <v>177</v>
      </c>
      <c r="L160" s="50">
        <f t="shared" si="115"/>
        <v>199</v>
      </c>
      <c r="M160" s="50">
        <f t="shared" si="115"/>
        <v>9</v>
      </c>
      <c r="N160" s="50">
        <f t="shared" si="115"/>
        <v>6175</v>
      </c>
      <c r="O160" s="50">
        <f t="shared" si="115"/>
        <v>18480</v>
      </c>
      <c r="P160" s="50">
        <f t="shared" si="115"/>
        <v>200380.59036000009</v>
      </c>
      <c r="Q160" s="50">
        <f t="shared" si="115"/>
        <v>150990.24252000003</v>
      </c>
      <c r="R160" s="50">
        <f t="shared" si="115"/>
        <v>44282384</v>
      </c>
      <c r="S160" s="50">
        <f t="shared" si="115"/>
        <v>9106447.1999999993</v>
      </c>
      <c r="T160" s="50">
        <f t="shared" si="115"/>
        <v>35175936.799999997</v>
      </c>
      <c r="U160" s="50">
        <f t="shared" si="115"/>
        <v>52978.880220000006</v>
      </c>
      <c r="V160" s="50">
        <f t="shared" si="115"/>
        <v>15959.066599999998</v>
      </c>
      <c r="W160" s="50">
        <f t="shared" si="115"/>
        <v>5661</v>
      </c>
      <c r="X160" s="50">
        <f t="shared" si="115"/>
        <v>6799.0780000000013</v>
      </c>
      <c r="Y160" s="50">
        <f t="shared" si="115"/>
        <v>2224.7200000000003</v>
      </c>
      <c r="Z160" s="50">
        <f t="shared" si="115"/>
        <v>0</v>
      </c>
      <c r="AA160" s="50">
        <f t="shared" si="115"/>
        <v>1274.2685999999999</v>
      </c>
      <c r="AB160" s="50">
        <f t="shared" si="115"/>
        <v>15264.750100000003</v>
      </c>
      <c r="AC160" s="50">
        <f t="shared" si="115"/>
        <v>873.61570000000017</v>
      </c>
      <c r="AD160" s="50">
        <f t="shared" si="115"/>
        <v>569.69999999999993</v>
      </c>
      <c r="AE160" s="50">
        <f t="shared" si="115"/>
        <v>5753.16</v>
      </c>
      <c r="AF160" s="50">
        <f t="shared" si="115"/>
        <v>8068.2744000000002</v>
      </c>
      <c r="AG160" s="50">
        <f t="shared" si="115"/>
        <v>10991962</v>
      </c>
      <c r="AH160" s="50">
        <f t="shared" si="115"/>
        <v>0</v>
      </c>
      <c r="AI160" s="50">
        <f t="shared" si="115"/>
        <v>24894.044000000005</v>
      </c>
      <c r="AJ160" s="50">
        <f t="shared" si="115"/>
        <v>15717.365400000006</v>
      </c>
      <c r="AK160" s="50">
        <f t="shared" si="115"/>
        <v>157183072</v>
      </c>
      <c r="AL160" s="50">
        <f t="shared" si="115"/>
        <v>82.835599999999999</v>
      </c>
      <c r="AM160" s="50">
        <f t="shared" si="115"/>
        <v>7244.7151999999987</v>
      </c>
      <c r="AN160" s="50">
        <f t="shared" si="115"/>
        <v>6819.9453999999996</v>
      </c>
      <c r="AO160" s="50">
        <f t="shared" si="115"/>
        <v>68203011</v>
      </c>
      <c r="AP160" s="50">
        <f t="shared" si="115"/>
        <v>420.85510000000005</v>
      </c>
      <c r="AQ160" s="50">
        <f t="shared" si="115"/>
        <v>4208773</v>
      </c>
      <c r="AR160" s="50">
        <f t="shared" si="115"/>
        <v>0</v>
      </c>
      <c r="AS160" s="50">
        <f t="shared" si="115"/>
        <v>1117.2114999999999</v>
      </c>
      <c r="AT160" s="50">
        <f t="shared" si="115"/>
        <v>644.13530000000026</v>
      </c>
      <c r="AU160" s="50">
        <f t="shared" si="115"/>
        <v>6441620</v>
      </c>
      <c r="AV160" s="50">
        <f t="shared" si="115"/>
        <v>473.07560000000001</v>
      </c>
      <c r="AW160" s="50">
        <f t="shared" si="115"/>
        <v>4731067</v>
      </c>
      <c r="AX160" s="50">
        <f t="shared" si="115"/>
        <v>11788.023899999998</v>
      </c>
      <c r="AY160" s="50">
        <f t="shared" si="115"/>
        <v>0</v>
      </c>
      <c r="AZ160" s="50">
        <f t="shared" si="115"/>
        <v>5943.35</v>
      </c>
      <c r="BA160" s="50">
        <f t="shared" si="115"/>
        <v>1.5099999999999964E-2</v>
      </c>
      <c r="BB160" s="49" t="s">
        <v>287</v>
      </c>
      <c r="BC160" s="51">
        <f t="shared" si="104"/>
        <v>34121.97</v>
      </c>
      <c r="BD160" s="50">
        <f t="shared" si="115"/>
        <v>6875.7400000000007</v>
      </c>
      <c r="BE160" s="50">
        <f t="shared" si="115"/>
        <v>1934.28</v>
      </c>
      <c r="BF160" s="50">
        <f t="shared" si="115"/>
        <v>1611900</v>
      </c>
      <c r="BG160" s="50">
        <f t="shared" si="115"/>
        <v>18928.050000000003</v>
      </c>
      <c r="BH160" s="50">
        <f t="shared" si="115"/>
        <v>6383.9</v>
      </c>
      <c r="BI160" s="50">
        <f t="shared" si="115"/>
        <v>15268.377839999999</v>
      </c>
      <c r="BJ160" s="51">
        <f t="shared" si="90"/>
        <v>188.95403999999999</v>
      </c>
      <c r="BK160" s="50">
        <f t="shared" si="115"/>
        <v>152.964</v>
      </c>
      <c r="BL160" s="50">
        <f t="shared" si="115"/>
        <v>35.990039999999993</v>
      </c>
      <c r="BM160" s="50">
        <f t="shared" si="115"/>
        <v>0</v>
      </c>
      <c r="BN160" s="50">
        <f t="shared" si="115"/>
        <v>0</v>
      </c>
      <c r="BO160" s="50">
        <f t="shared" si="115"/>
        <v>0</v>
      </c>
      <c r="BP160" s="50">
        <f t="shared" si="115"/>
        <v>854.72560000000021</v>
      </c>
      <c r="BQ160" s="50">
        <f t="shared" si="115"/>
        <v>0</v>
      </c>
      <c r="BR160" s="50">
        <f t="shared" si="115"/>
        <v>620</v>
      </c>
      <c r="BS160" s="50">
        <f t="shared" si="115"/>
        <v>2266.91</v>
      </c>
      <c r="BT160" s="50">
        <f t="shared" ref="BT160:CE160" si="116">SUM(BT8:BT159)</f>
        <v>0</v>
      </c>
      <c r="BU160" s="50">
        <f t="shared" si="116"/>
        <v>0</v>
      </c>
      <c r="BV160" s="50">
        <f t="shared" si="116"/>
        <v>0</v>
      </c>
      <c r="BW160" s="50">
        <f t="shared" si="116"/>
        <v>11337.788199999999</v>
      </c>
      <c r="BX160" s="50">
        <f t="shared" si="116"/>
        <v>18239.310000000001</v>
      </c>
      <c r="BY160" s="50">
        <f t="shared" si="116"/>
        <v>1505.2</v>
      </c>
      <c r="BZ160" s="50"/>
      <c r="CA160" s="50">
        <f t="shared" si="116"/>
        <v>0</v>
      </c>
      <c r="CB160" s="54">
        <f t="shared" si="91"/>
        <v>220125.1003600001</v>
      </c>
      <c r="CC160" s="50">
        <f t="shared" si="116"/>
        <v>14069.45</v>
      </c>
      <c r="CD160" s="50">
        <f t="shared" si="116"/>
        <v>2894</v>
      </c>
      <c r="CE160" s="50">
        <f t="shared" si="116"/>
        <v>3669.9</v>
      </c>
      <c r="CF160" s="47">
        <f t="shared" si="85"/>
        <v>240758.4503600001</v>
      </c>
    </row>
    <row r="161" spans="1:84">
      <c r="A161" s="47">
        <v>154</v>
      </c>
      <c r="B161" s="47" t="s">
        <v>288</v>
      </c>
      <c r="C161" s="47"/>
      <c r="D161" s="49" t="s">
        <v>289</v>
      </c>
      <c r="E161" s="49"/>
      <c r="F161" s="50">
        <f t="shared" si="92"/>
        <v>0</v>
      </c>
      <c r="G161" s="50"/>
      <c r="H161" s="50"/>
      <c r="I161" s="50"/>
      <c r="J161" s="50"/>
      <c r="K161" s="50"/>
      <c r="L161" s="50"/>
      <c r="M161" s="50"/>
      <c r="N161" s="50"/>
      <c r="O161" s="50">
        <f t="shared" si="93"/>
        <v>0</v>
      </c>
      <c r="P161" s="51">
        <f>Q161+BC161+BI161</f>
        <v>2966.0520000000001</v>
      </c>
      <c r="Q161" s="51">
        <f>U161+V161+AB161+AH161+AI161+AJ161+AL161+AM161+AR161+AS161+AX161+AY161+AZ161</f>
        <v>1870</v>
      </c>
      <c r="R161" s="47">
        <f t="shared" si="94"/>
        <v>0</v>
      </c>
      <c r="S161" s="51"/>
      <c r="T161" s="51"/>
      <c r="U161" s="47">
        <f t="shared" si="95"/>
        <v>0</v>
      </c>
      <c r="V161" s="51">
        <f t="shared" ref="V161:V163" si="117">SUM(W161:AA161)</f>
        <v>100</v>
      </c>
      <c r="W161" s="47">
        <f t="shared" si="96"/>
        <v>0</v>
      </c>
      <c r="X161" s="47"/>
      <c r="Y161" s="47">
        <v>100</v>
      </c>
      <c r="Z161" s="47"/>
      <c r="AA161" s="47"/>
      <c r="AB161" s="51">
        <f>SUM(AC161:AF161)</f>
        <v>200</v>
      </c>
      <c r="AC161" s="47">
        <f t="shared" si="97"/>
        <v>0</v>
      </c>
      <c r="AD161" s="47"/>
      <c r="AE161" s="47">
        <v>200</v>
      </c>
      <c r="AF161" s="47">
        <f t="shared" si="113"/>
        <v>0</v>
      </c>
      <c r="AG161" s="47"/>
      <c r="AH161" s="47"/>
      <c r="AI161" s="47">
        <f t="shared" si="98"/>
        <v>0</v>
      </c>
      <c r="AJ161" s="53"/>
      <c r="AK161" s="53"/>
      <c r="AL161" s="47"/>
      <c r="AM161" s="47">
        <f t="shared" si="107"/>
        <v>0</v>
      </c>
      <c r="AN161" s="47"/>
      <c r="AO161" s="47"/>
      <c r="AP161" s="47"/>
      <c r="AQ161" s="47"/>
      <c r="AR161" s="47"/>
      <c r="AS161" s="47">
        <f t="shared" si="111"/>
        <v>0</v>
      </c>
      <c r="AT161" s="47"/>
      <c r="AU161" s="47"/>
      <c r="AV161" s="47"/>
      <c r="AW161" s="47"/>
      <c r="AX161" s="47"/>
      <c r="AY161" s="47">
        <v>500</v>
      </c>
      <c r="AZ161" s="47">
        <v>1070</v>
      </c>
      <c r="BA161" s="54"/>
      <c r="BB161" s="49" t="s">
        <v>289</v>
      </c>
      <c r="BC161" s="51">
        <f t="shared" si="104"/>
        <v>347.61200000000002</v>
      </c>
      <c r="BD161" s="57"/>
      <c r="BE161" s="47">
        <f t="shared" si="105"/>
        <v>0</v>
      </c>
      <c r="BF161" s="47"/>
      <c r="BG161" s="47">
        <v>347.61200000000002</v>
      </c>
      <c r="BH161" s="47"/>
      <c r="BI161" s="51">
        <f>BJ161+BN161+BO161+BP161+BQ161+BS161+BT161+BU161+BV161+BW161+BR161</f>
        <v>748.44</v>
      </c>
      <c r="BJ161" s="51">
        <f>BK161+BM161</f>
        <v>58.44</v>
      </c>
      <c r="BK161" s="47">
        <v>58.44</v>
      </c>
      <c r="BL161" s="47"/>
      <c r="BM161" s="47"/>
      <c r="BN161" s="47"/>
      <c r="BO161" s="47"/>
      <c r="BP161" s="47"/>
      <c r="BQ161" s="47"/>
      <c r="BR161" s="47"/>
      <c r="BS161" s="53"/>
      <c r="BT161" s="47">
        <f>100+56</f>
        <v>156</v>
      </c>
      <c r="BU161" s="47"/>
      <c r="BV161" s="47"/>
      <c r="BW161" s="47">
        <f>590-56</f>
        <v>534</v>
      </c>
      <c r="BX161" s="47">
        <v>3737.395</v>
      </c>
      <c r="BY161" s="47"/>
      <c r="BZ161" s="47"/>
      <c r="CA161" s="47"/>
      <c r="CB161" s="54">
        <f t="shared" si="91"/>
        <v>6703.4470000000001</v>
      </c>
      <c r="CC161" s="47"/>
      <c r="CD161" s="57"/>
      <c r="CE161" s="47"/>
      <c r="CF161" s="47">
        <f t="shared" si="85"/>
        <v>6703.4470000000001</v>
      </c>
    </row>
    <row r="162" spans="1:84">
      <c r="A162" s="47">
        <v>155</v>
      </c>
      <c r="B162" s="47" t="s">
        <v>288</v>
      </c>
      <c r="C162" s="47"/>
      <c r="D162" s="49" t="s">
        <v>290</v>
      </c>
      <c r="E162" s="49"/>
      <c r="F162" s="50">
        <f t="shared" si="92"/>
        <v>0</v>
      </c>
      <c r="G162" s="50"/>
      <c r="H162" s="50"/>
      <c r="I162" s="50"/>
      <c r="J162" s="50"/>
      <c r="K162" s="50"/>
      <c r="L162" s="50"/>
      <c r="M162" s="50"/>
      <c r="N162" s="50"/>
      <c r="O162" s="50">
        <f t="shared" si="93"/>
        <v>0</v>
      </c>
      <c r="P162" s="51">
        <f>Q162+BC162+BI162</f>
        <v>7931</v>
      </c>
      <c r="Q162" s="51">
        <f>U162+V162+AB162+AH162+AI162+AJ162+AL162+AM162+AR162+AS162+AX162+AY162+AZ162</f>
        <v>7908</v>
      </c>
      <c r="R162" s="47">
        <f t="shared" si="94"/>
        <v>0</v>
      </c>
      <c r="S162" s="51"/>
      <c r="T162" s="51"/>
      <c r="U162" s="47">
        <f t="shared" si="95"/>
        <v>0</v>
      </c>
      <c r="V162" s="51">
        <f t="shared" si="117"/>
        <v>0</v>
      </c>
      <c r="W162" s="47">
        <f t="shared" si="96"/>
        <v>0</v>
      </c>
      <c r="X162" s="47"/>
      <c r="Y162" s="47"/>
      <c r="Z162" s="47"/>
      <c r="AA162" s="47"/>
      <c r="AB162" s="51">
        <f>SUM(AC162:AF162)</f>
        <v>0</v>
      </c>
      <c r="AC162" s="47">
        <f t="shared" si="97"/>
        <v>0</v>
      </c>
      <c r="AD162" s="47"/>
      <c r="AE162" s="47"/>
      <c r="AF162" s="47">
        <f t="shared" si="113"/>
        <v>0</v>
      </c>
      <c r="AG162" s="47"/>
      <c r="AH162" s="47"/>
      <c r="AI162" s="47">
        <f t="shared" si="98"/>
        <v>0</v>
      </c>
      <c r="AJ162" s="53">
        <f t="shared" si="106"/>
        <v>0</v>
      </c>
      <c r="AK162" s="53"/>
      <c r="AL162" s="47"/>
      <c r="AM162" s="47">
        <f t="shared" si="107"/>
        <v>0</v>
      </c>
      <c r="AN162" s="47"/>
      <c r="AO162" s="47"/>
      <c r="AP162" s="47"/>
      <c r="AQ162" s="47"/>
      <c r="AR162" s="47"/>
      <c r="AS162" s="47">
        <f t="shared" si="111"/>
        <v>0</v>
      </c>
      <c r="AT162" s="47"/>
      <c r="AU162" s="47"/>
      <c r="AV162" s="47"/>
      <c r="AW162" s="47"/>
      <c r="AX162" s="47">
        <f t="shared" si="109"/>
        <v>0</v>
      </c>
      <c r="AY162" s="47"/>
      <c r="AZ162" s="47">
        <v>7908</v>
      </c>
      <c r="BA162" s="54"/>
      <c r="BB162" s="49" t="s">
        <v>290</v>
      </c>
      <c r="BC162" s="51">
        <f t="shared" si="104"/>
        <v>0</v>
      </c>
      <c r="BD162" s="57"/>
      <c r="BE162" s="47">
        <f t="shared" si="105"/>
        <v>0</v>
      </c>
      <c r="BF162" s="47"/>
      <c r="BG162" s="47"/>
      <c r="BH162" s="47"/>
      <c r="BI162" s="51">
        <f>BJ162+BN162+BO162+BP162+BQ162+BS162+BT162+BU162+BV162+BW162+BR162</f>
        <v>23</v>
      </c>
      <c r="BJ162" s="51">
        <f>BK162+BM162</f>
        <v>0</v>
      </c>
      <c r="BK162" s="47"/>
      <c r="BL162" s="47"/>
      <c r="BM162" s="47"/>
      <c r="BN162" s="47"/>
      <c r="BO162" s="47"/>
      <c r="BP162" s="47"/>
      <c r="BQ162" s="47"/>
      <c r="BR162" s="47"/>
      <c r="BS162" s="53"/>
      <c r="BT162" s="47"/>
      <c r="BU162" s="47"/>
      <c r="BV162" s="47"/>
      <c r="BW162" s="47">
        <v>23</v>
      </c>
      <c r="BX162" s="47">
        <v>4911.8999999999996</v>
      </c>
      <c r="BY162" s="47"/>
      <c r="BZ162" s="47"/>
      <c r="CA162" s="47"/>
      <c r="CB162" s="54">
        <f t="shared" si="91"/>
        <v>12842.9</v>
      </c>
      <c r="CC162" s="47"/>
      <c r="CD162" s="57"/>
      <c r="CE162" s="47"/>
      <c r="CF162" s="47">
        <f t="shared" si="85"/>
        <v>12842.9</v>
      </c>
    </row>
    <row r="163" spans="1:84" s="81" customFormat="1">
      <c r="A163" s="47">
        <v>156</v>
      </c>
      <c r="B163" s="47" t="s">
        <v>288</v>
      </c>
      <c r="C163" s="47"/>
      <c r="D163" s="80" t="s">
        <v>291</v>
      </c>
      <c r="E163" s="80"/>
      <c r="F163" s="50">
        <f t="shared" si="92"/>
        <v>12</v>
      </c>
      <c r="G163" s="50"/>
      <c r="H163" s="50"/>
      <c r="I163" s="50">
        <v>12</v>
      </c>
      <c r="J163" s="50"/>
      <c r="K163" s="50"/>
      <c r="L163" s="50">
        <f>462+168+847</f>
        <v>1477</v>
      </c>
      <c r="M163" s="50"/>
      <c r="N163" s="50">
        <f>153+113+372+2+8</f>
        <v>648</v>
      </c>
      <c r="O163" s="50">
        <f t="shared" si="93"/>
        <v>2137</v>
      </c>
      <c r="P163" s="51">
        <f>Q163+BC163+BI163</f>
        <v>48396.598000000005</v>
      </c>
      <c r="Q163" s="51">
        <f>U163+V163+AB163+AH163+AI163+AJ163+AL163+AM163+AR163+AS163+AX163+AY163+AZ163</f>
        <v>19028</v>
      </c>
      <c r="R163" s="47">
        <f t="shared" si="94"/>
        <v>3500000</v>
      </c>
      <c r="S163" s="51">
        <v>1000000</v>
      </c>
      <c r="T163" s="51">
        <v>2500000</v>
      </c>
      <c r="U163" s="47">
        <v>3200</v>
      </c>
      <c r="V163" s="51">
        <f t="shared" si="117"/>
        <v>1550</v>
      </c>
      <c r="W163" s="47">
        <v>850</v>
      </c>
      <c r="X163" s="47">
        <v>200</v>
      </c>
      <c r="Y163" s="47"/>
      <c r="Z163" s="47">
        <v>500</v>
      </c>
      <c r="AA163" s="47"/>
      <c r="AB163" s="51">
        <f>SUM(AC163:AF163)</f>
        <v>5268</v>
      </c>
      <c r="AC163" s="47">
        <f t="shared" si="97"/>
        <v>100</v>
      </c>
      <c r="AD163" s="47">
        <f>100+368</f>
        <v>468</v>
      </c>
      <c r="AE163" s="47"/>
      <c r="AF163" s="47">
        <v>4700</v>
      </c>
      <c r="AG163" s="47">
        <f>17667*F163/12</f>
        <v>17667</v>
      </c>
      <c r="AH163" s="47"/>
      <c r="AI163" s="47">
        <v>4000</v>
      </c>
      <c r="AJ163" s="53">
        <v>1500</v>
      </c>
      <c r="AK163" s="53"/>
      <c r="AL163" s="47">
        <v>1500</v>
      </c>
      <c r="AM163" s="47">
        <v>650</v>
      </c>
      <c r="AN163" s="47"/>
      <c r="AO163" s="47"/>
      <c r="AP163" s="47"/>
      <c r="AQ163" s="47"/>
      <c r="AR163" s="47"/>
      <c r="AS163" s="47">
        <f>110+100</f>
        <v>210</v>
      </c>
      <c r="AT163" s="47">
        <v>60</v>
      </c>
      <c r="AU163" s="47"/>
      <c r="AV163" s="47">
        <v>50</v>
      </c>
      <c r="AW163" s="47"/>
      <c r="AX163" s="47">
        <v>950</v>
      </c>
      <c r="AY163" s="47"/>
      <c r="AZ163" s="47">
        <f>200</f>
        <v>200</v>
      </c>
      <c r="BA163" s="47"/>
      <c r="BB163" s="80" t="s">
        <v>291</v>
      </c>
      <c r="BC163" s="51">
        <f t="shared" si="104"/>
        <v>9993.58</v>
      </c>
      <c r="BD163" s="47">
        <v>300</v>
      </c>
      <c r="BE163" s="47">
        <f>200-10.92</f>
        <v>189.08</v>
      </c>
      <c r="BF163" s="47"/>
      <c r="BG163" s="47">
        <v>4500</v>
      </c>
      <c r="BH163" s="47">
        <v>5004.5</v>
      </c>
      <c r="BI163" s="51">
        <f>BJ163+BN163+BO163+BP163+BQ163+BS163+BT163+BU163+BV163+BW163+BR163</f>
        <v>19375.018000000004</v>
      </c>
      <c r="BJ163" s="51">
        <f>BK163+BM163+BL163</f>
        <v>11179.69</v>
      </c>
      <c r="BK163" s="47">
        <f>134.69+45</f>
        <v>179.69</v>
      </c>
      <c r="BL163" s="47">
        <f>5500+2500</f>
        <v>8000</v>
      </c>
      <c r="BM163" s="47">
        <v>3000</v>
      </c>
      <c r="BN163" s="47">
        <v>20</v>
      </c>
      <c r="BO163" s="47">
        <v>800</v>
      </c>
      <c r="BP163" s="47">
        <v>150.34800000000001</v>
      </c>
      <c r="BQ163" s="47"/>
      <c r="BR163" s="47">
        <f>50+1638.4</f>
        <v>1688.4</v>
      </c>
      <c r="BS163" s="53"/>
      <c r="BT163" s="47">
        <v>800</v>
      </c>
      <c r="BU163" s="47"/>
      <c r="BV163" s="47">
        <v>200</v>
      </c>
      <c r="BW163" s="47">
        <f>295+300+193.33+25+54+24.25+875+2770</f>
        <v>4536.58</v>
      </c>
      <c r="BX163" s="47">
        <f>75670.56-100+70</f>
        <v>75640.56</v>
      </c>
      <c r="BY163" s="47">
        <f>114.9+20</f>
        <v>134.9</v>
      </c>
      <c r="BZ163" s="47"/>
      <c r="CA163" s="47"/>
      <c r="CB163" s="54">
        <f t="shared" si="91"/>
        <v>124172.05799999999</v>
      </c>
      <c r="CC163" s="47">
        <f>124213+202+29219-70000</f>
        <v>83634</v>
      </c>
      <c r="CD163" s="57"/>
      <c r="CE163" s="47"/>
      <c r="CF163" s="47">
        <f t="shared" si="85"/>
        <v>207806.05799999999</v>
      </c>
    </row>
    <row r="164" spans="1:84">
      <c r="A164" s="82"/>
      <c r="B164" s="83"/>
      <c r="C164" s="83"/>
      <c r="D164" s="84" t="s">
        <v>72</v>
      </c>
      <c r="E164" s="84"/>
      <c r="F164" s="83">
        <f>F160+F161+F162+F163</f>
        <v>12109</v>
      </c>
      <c r="G164" s="83">
        <f t="shared" ref="G164:BR164" si="118">G160+G161+G162+G163</f>
        <v>2205</v>
      </c>
      <c r="H164" s="83">
        <f t="shared" si="118"/>
        <v>311</v>
      </c>
      <c r="I164" s="83">
        <f t="shared" si="118"/>
        <v>8920</v>
      </c>
      <c r="J164" s="83">
        <f t="shared" si="118"/>
        <v>496</v>
      </c>
      <c r="K164" s="83">
        <f t="shared" si="118"/>
        <v>177</v>
      </c>
      <c r="L164" s="83">
        <f t="shared" si="118"/>
        <v>1676</v>
      </c>
      <c r="M164" s="83">
        <f t="shared" si="118"/>
        <v>9</v>
      </c>
      <c r="N164" s="83">
        <f t="shared" si="118"/>
        <v>6823</v>
      </c>
      <c r="O164" s="83">
        <f t="shared" si="118"/>
        <v>20617</v>
      </c>
      <c r="P164" s="83">
        <f t="shared" si="118"/>
        <v>259674.24036000008</v>
      </c>
      <c r="Q164" s="83">
        <f t="shared" si="118"/>
        <v>179796.24252000003</v>
      </c>
      <c r="R164" s="83">
        <f t="shared" si="118"/>
        <v>47782384</v>
      </c>
      <c r="S164" s="83">
        <f t="shared" si="118"/>
        <v>10106447.199999999</v>
      </c>
      <c r="T164" s="83">
        <f t="shared" si="118"/>
        <v>37675936.799999997</v>
      </c>
      <c r="U164" s="83">
        <f t="shared" si="118"/>
        <v>56178.880220000006</v>
      </c>
      <c r="V164" s="83">
        <f t="shared" si="118"/>
        <v>17609.066599999998</v>
      </c>
      <c r="W164" s="83">
        <f t="shared" si="118"/>
        <v>6511</v>
      </c>
      <c r="X164" s="83">
        <f t="shared" si="118"/>
        <v>6999.0780000000013</v>
      </c>
      <c r="Y164" s="83">
        <f t="shared" si="118"/>
        <v>2324.7200000000003</v>
      </c>
      <c r="Z164" s="83">
        <f t="shared" si="118"/>
        <v>500</v>
      </c>
      <c r="AA164" s="83">
        <f t="shared" si="118"/>
        <v>1274.2685999999999</v>
      </c>
      <c r="AB164" s="83">
        <f t="shared" si="118"/>
        <v>20732.750100000005</v>
      </c>
      <c r="AC164" s="83">
        <f t="shared" si="118"/>
        <v>973.61570000000017</v>
      </c>
      <c r="AD164" s="83">
        <f t="shared" si="118"/>
        <v>1037.6999999999998</v>
      </c>
      <c r="AE164" s="83">
        <f t="shared" si="118"/>
        <v>5953.16</v>
      </c>
      <c r="AF164" s="83">
        <f t="shared" si="118"/>
        <v>12768.2744</v>
      </c>
      <c r="AG164" s="83">
        <f t="shared" si="118"/>
        <v>11009629</v>
      </c>
      <c r="AH164" s="83">
        <f t="shared" si="118"/>
        <v>0</v>
      </c>
      <c r="AI164" s="83">
        <f t="shared" si="118"/>
        <v>28894.044000000005</v>
      </c>
      <c r="AJ164" s="83">
        <f t="shared" si="118"/>
        <v>17217.365400000006</v>
      </c>
      <c r="AK164" s="83">
        <f t="shared" si="118"/>
        <v>157183072</v>
      </c>
      <c r="AL164" s="83">
        <f t="shared" si="118"/>
        <v>1582.8355999999999</v>
      </c>
      <c r="AM164" s="83">
        <f t="shared" si="118"/>
        <v>7894.7151999999987</v>
      </c>
      <c r="AN164" s="83">
        <f t="shared" si="118"/>
        <v>6819.9453999999996</v>
      </c>
      <c r="AO164" s="83">
        <f t="shared" si="118"/>
        <v>68203011</v>
      </c>
      <c r="AP164" s="83">
        <f t="shared" si="118"/>
        <v>420.85510000000005</v>
      </c>
      <c r="AQ164" s="83">
        <f t="shared" si="118"/>
        <v>4208773</v>
      </c>
      <c r="AR164" s="83">
        <f t="shared" si="118"/>
        <v>0</v>
      </c>
      <c r="AS164" s="83">
        <f t="shared" si="118"/>
        <v>1327.2114999999999</v>
      </c>
      <c r="AT164" s="83">
        <f t="shared" si="118"/>
        <v>704.13530000000026</v>
      </c>
      <c r="AU164" s="83">
        <f t="shared" si="118"/>
        <v>6441620</v>
      </c>
      <c r="AV164" s="83">
        <f t="shared" si="118"/>
        <v>523.07560000000001</v>
      </c>
      <c r="AW164" s="83">
        <f t="shared" si="118"/>
        <v>4731067</v>
      </c>
      <c r="AX164" s="83">
        <f t="shared" si="118"/>
        <v>12738.023899999998</v>
      </c>
      <c r="AY164" s="83">
        <f t="shared" si="118"/>
        <v>500</v>
      </c>
      <c r="AZ164" s="83">
        <f t="shared" si="118"/>
        <v>15121.35</v>
      </c>
      <c r="BA164" s="83">
        <f t="shared" si="118"/>
        <v>1.5099999999999964E-2</v>
      </c>
      <c r="BB164" s="83" t="s">
        <v>72</v>
      </c>
      <c r="BC164" s="83">
        <f>BC160+BC161+BC162+BC163</f>
        <v>44463.162000000004</v>
      </c>
      <c r="BD164" s="83">
        <f t="shared" si="118"/>
        <v>7175.7400000000007</v>
      </c>
      <c r="BE164" s="83">
        <f t="shared" si="118"/>
        <v>2123.36</v>
      </c>
      <c r="BF164" s="83">
        <f t="shared" si="118"/>
        <v>1611900</v>
      </c>
      <c r="BG164" s="83">
        <f t="shared" si="118"/>
        <v>23775.662000000004</v>
      </c>
      <c r="BH164" s="83">
        <f t="shared" si="118"/>
        <v>11388.4</v>
      </c>
      <c r="BI164" s="83">
        <f t="shared" si="118"/>
        <v>35414.83584</v>
      </c>
      <c r="BJ164" s="83">
        <f t="shared" si="118"/>
        <v>11427.08404</v>
      </c>
      <c r="BK164" s="83">
        <f t="shared" si="118"/>
        <v>391.09399999999999</v>
      </c>
      <c r="BL164" s="83">
        <f t="shared" si="118"/>
        <v>8035.9900399999997</v>
      </c>
      <c r="BM164" s="83">
        <f t="shared" si="118"/>
        <v>3000</v>
      </c>
      <c r="BN164" s="83">
        <f t="shared" si="118"/>
        <v>20</v>
      </c>
      <c r="BO164" s="83">
        <f t="shared" si="118"/>
        <v>800</v>
      </c>
      <c r="BP164" s="83">
        <f t="shared" si="118"/>
        <v>1005.0736000000002</v>
      </c>
      <c r="BQ164" s="83">
        <f t="shared" si="118"/>
        <v>0</v>
      </c>
      <c r="BR164" s="83">
        <f t="shared" si="118"/>
        <v>2308.4</v>
      </c>
      <c r="BS164" s="83">
        <f t="shared" ref="BS164:CF164" si="119">BS160+BS161+BS162+BS163</f>
        <v>2266.91</v>
      </c>
      <c r="BT164" s="83">
        <f t="shared" si="119"/>
        <v>956</v>
      </c>
      <c r="BU164" s="83">
        <f t="shared" si="119"/>
        <v>0</v>
      </c>
      <c r="BV164" s="83">
        <f t="shared" si="119"/>
        <v>200</v>
      </c>
      <c r="BW164" s="83">
        <f t="shared" si="119"/>
        <v>16431.368199999997</v>
      </c>
      <c r="BX164" s="83">
        <f t="shared" si="119"/>
        <v>102529.16500000001</v>
      </c>
      <c r="BY164" s="83">
        <f t="shared" si="119"/>
        <v>1640.1000000000001</v>
      </c>
      <c r="BZ164" s="83"/>
      <c r="CA164" s="83">
        <f t="shared" si="119"/>
        <v>0</v>
      </c>
      <c r="CB164" s="83">
        <f t="shared" si="119"/>
        <v>363843.50536000007</v>
      </c>
      <c r="CC164" s="83">
        <f t="shared" si="119"/>
        <v>97703.45</v>
      </c>
      <c r="CD164" s="83">
        <f t="shared" si="119"/>
        <v>2894</v>
      </c>
      <c r="CE164" s="83">
        <f t="shared" si="119"/>
        <v>3669.9</v>
      </c>
      <c r="CF164" s="83">
        <f t="shared" si="119"/>
        <v>468110.8553600001</v>
      </c>
    </row>
  </sheetData>
  <autoFilter ref="A6:CF164"/>
  <mergeCells count="65">
    <mergeCell ref="M3:M6"/>
    <mergeCell ref="A1:AZ1"/>
    <mergeCell ref="BB1:CF1"/>
    <mergeCell ref="A2:D2"/>
    <mergeCell ref="AS2:AZ2"/>
    <mergeCell ref="BX2:CB2"/>
    <mergeCell ref="CC2:CF2"/>
    <mergeCell ref="A3:A6"/>
    <mergeCell ref="B3:B6"/>
    <mergeCell ref="D3:D6"/>
    <mergeCell ref="F3:F6"/>
    <mergeCell ref="L3:L6"/>
    <mergeCell ref="CC3:CC6"/>
    <mergeCell ref="CD3:CD6"/>
    <mergeCell ref="CE3:CE6"/>
    <mergeCell ref="CF3:CF6"/>
    <mergeCell ref="N3:N6"/>
    <mergeCell ref="O3:O6"/>
    <mergeCell ref="P3:BW3"/>
    <mergeCell ref="BX3:BX6"/>
    <mergeCell ref="BY3:BY6"/>
    <mergeCell ref="BP5:BP6"/>
    <mergeCell ref="BQ5:BQ6"/>
    <mergeCell ref="BR5:BR6"/>
    <mergeCell ref="BS5:BS6"/>
    <mergeCell ref="BT5:BT6"/>
    <mergeCell ref="BF5:BF6"/>
    <mergeCell ref="BG5:BG6"/>
    <mergeCell ref="BH5:BH6"/>
    <mergeCell ref="BI5:BI6"/>
    <mergeCell ref="BJ5:BM5"/>
    <mergeCell ref="BN5:BN6"/>
    <mergeCell ref="P4:P6"/>
    <mergeCell ref="Q4:AZ4"/>
    <mergeCell ref="BB4:BB6"/>
    <mergeCell ref="BC4:BG4"/>
    <mergeCell ref="BI4:BW4"/>
    <mergeCell ref="Q5:Q6"/>
    <mergeCell ref="R5:R6"/>
    <mergeCell ref="S5:S6"/>
    <mergeCell ref="T5:T6"/>
    <mergeCell ref="U5:U6"/>
    <mergeCell ref="V5:AA5"/>
    <mergeCell ref="AB5:AB6"/>
    <mergeCell ref="AG5:AG6"/>
    <mergeCell ref="AH5:AH6"/>
    <mergeCell ref="BO5:BO6"/>
    <mergeCell ref="AS5:AS6"/>
    <mergeCell ref="AX5:AX6"/>
    <mergeCell ref="AY5:AY6"/>
    <mergeCell ref="AZ5:AZ6"/>
    <mergeCell ref="BU5:BU6"/>
    <mergeCell ref="AI5:AI6"/>
    <mergeCell ref="AJ5:AJ6"/>
    <mergeCell ref="AL5:AL6"/>
    <mergeCell ref="AM5:AM6"/>
    <mergeCell ref="AR5:AR6"/>
    <mergeCell ref="CA3:CA6"/>
    <mergeCell ref="CB3:CB6"/>
    <mergeCell ref="BW5:BW6"/>
    <mergeCell ref="BC5:BC6"/>
    <mergeCell ref="BD5:BD6"/>
    <mergeCell ref="BE5:BE6"/>
    <mergeCell ref="BV5:BV6"/>
    <mergeCell ref="BZ3:BZ6"/>
  </mergeCells>
  <phoneticPr fontId="2" type="noConversion"/>
  <printOptions horizontalCentered="1"/>
  <pageMargins left="0.118110236220472" right="0.118110236220472" top="0.70866141732283505" bottom="0.27559055118110198" header="0.31496062992126" footer="0.118110236220472"/>
  <pageSetup paperSize="9" pageOrder="overThenDown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164"/>
  <sheetViews>
    <sheetView showZeros="0" workbookViewId="0">
      <pane xSplit="4" ySplit="6" topLeftCell="AE28" activePane="bottomRight" state="frozen"/>
      <selection pane="topRight"/>
      <selection pane="bottomLeft"/>
      <selection pane="bottomRight" activeCell="BB49" sqref="BB49"/>
    </sheetView>
  </sheetViews>
  <sheetFormatPr defaultColWidth="9" defaultRowHeight="14.25"/>
  <cols>
    <col min="1" max="1" width="2.625" style="34" customWidth="1"/>
    <col min="2" max="2" width="3.25" style="34" customWidth="1"/>
    <col min="3" max="3" width="6.875" style="34" customWidth="1"/>
    <col min="4" max="4" width="12.625" style="85" customWidth="1"/>
    <col min="5" max="5" width="4.75" style="85" customWidth="1"/>
    <col min="6" max="6" width="7.25" style="81" customWidth="1"/>
    <col min="7" max="11" width="3.5" style="81" customWidth="1"/>
    <col min="12" max="14" width="3.625" style="81" customWidth="1"/>
    <col min="15" max="15" width="6.75" style="34" customWidth="1"/>
    <col min="16" max="16" width="13" style="34" customWidth="1"/>
    <col min="17" max="17" width="14.125" style="34" customWidth="1"/>
    <col min="18" max="18" width="7.25" style="34" hidden="1" customWidth="1"/>
    <col min="19" max="19" width="5.875" style="34" hidden="1" customWidth="1"/>
    <col min="20" max="20" width="7.25" style="34" hidden="1" customWidth="1"/>
    <col min="21" max="21" width="14.125" style="81" customWidth="1"/>
    <col min="22" max="22" width="5.75" style="34" customWidth="1"/>
    <col min="23" max="23" width="5.25" style="34" customWidth="1"/>
    <col min="24" max="26" width="4.5" style="34" customWidth="1"/>
    <col min="27" max="27" width="4.375" style="34" customWidth="1"/>
    <col min="28" max="28" width="5" style="34" customWidth="1"/>
    <col min="29" max="29" width="10.375" style="34" customWidth="1"/>
    <col min="30" max="30" width="4.875" style="34" customWidth="1"/>
    <col min="31" max="31" width="5.25" style="34" customWidth="1"/>
    <col min="32" max="32" width="5.625" style="34" customWidth="1"/>
    <col min="33" max="33" width="5.125" style="34" hidden="1" customWidth="1"/>
    <col min="34" max="34" width="6.75" style="34" hidden="1" customWidth="1"/>
    <col min="35" max="35" width="12.375" style="34" customWidth="1"/>
    <col min="36" max="36" width="5.25" style="34" customWidth="1"/>
    <col min="37" max="37" width="9.625" style="34" hidden="1" customWidth="1"/>
    <col min="38" max="39" width="5.25" style="34" customWidth="1"/>
    <col min="40" max="40" width="6.625" style="34" hidden="1" customWidth="1"/>
    <col min="41" max="41" width="6" style="34" hidden="1" customWidth="1"/>
    <col min="42" max="42" width="6.375" style="34" hidden="1" customWidth="1"/>
    <col min="43" max="44" width="6" style="34" hidden="1" customWidth="1"/>
    <col min="45" max="45" width="5.5" style="34" customWidth="1"/>
    <col min="46" max="46" width="6.5" style="34" hidden="1" customWidth="1"/>
    <col min="47" max="47" width="6" style="34" hidden="1" customWidth="1"/>
    <col min="48" max="48" width="7.25" style="34" hidden="1" customWidth="1"/>
    <col min="49" max="49" width="6" style="34" hidden="1" customWidth="1"/>
    <col min="50" max="50" width="5.75" style="34" customWidth="1"/>
    <col min="51" max="51" width="3.875" style="34" customWidth="1"/>
    <col min="52" max="52" width="4.375" style="81" customWidth="1"/>
    <col min="53" max="53" width="0.375" style="81" customWidth="1"/>
    <col min="54" max="54" width="11.75" style="85" customWidth="1"/>
    <col min="55" max="55" width="5.75" style="34" customWidth="1"/>
    <col min="56" max="56" width="13.25" style="34" customWidth="1"/>
    <col min="57" max="57" width="3.875" style="34" customWidth="1"/>
    <col min="58" max="58" width="7.5" style="34" hidden="1" customWidth="1"/>
    <col min="59" max="59" width="5.125" style="34" customWidth="1"/>
    <col min="60" max="60" width="4.625" style="34" customWidth="1"/>
    <col min="61" max="61" width="5.5" style="34" customWidth="1"/>
    <col min="62" max="62" width="4.875" style="34" customWidth="1"/>
    <col min="63" max="63" width="15.5" style="34" customWidth="1"/>
    <col min="64" max="64" width="11.125" style="34" customWidth="1"/>
    <col min="65" max="65" width="4.125" style="34" customWidth="1"/>
    <col min="66" max="66" width="4" style="34" customWidth="1"/>
    <col min="67" max="67" width="3.5" style="34" customWidth="1"/>
    <col min="68" max="68" width="4.75" style="34" customWidth="1"/>
    <col min="69" max="69" width="3.375" style="34" hidden="1" customWidth="1"/>
    <col min="70" max="70" width="4.375" style="34" customWidth="1"/>
    <col min="71" max="71" width="4.5" style="87" customWidth="1"/>
    <col min="72" max="72" width="3.625" style="34" customWidth="1"/>
    <col min="73" max="73" width="2.625" style="34" hidden="1" customWidth="1"/>
    <col min="74" max="74" width="3.5" style="34" customWidth="1"/>
    <col min="75" max="75" width="4.75" style="34" customWidth="1"/>
    <col min="76" max="76" width="5.25" style="34" customWidth="1"/>
    <col min="77" max="77" width="5.375" style="34" customWidth="1"/>
    <col min="78" max="78" width="4.75" style="34" customWidth="1"/>
    <col min="79" max="79" width="4.25" style="34" customWidth="1"/>
    <col min="80" max="80" width="11.5" style="34" customWidth="1"/>
    <col min="81" max="16384" width="9" style="34"/>
  </cols>
  <sheetData>
    <row r="1" spans="1:80" ht="29.1" customHeight="1">
      <c r="A1" s="215" t="s">
        <v>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33"/>
      <c r="BB1" s="215" t="s">
        <v>293</v>
      </c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6"/>
      <c r="BT1" s="215"/>
      <c r="BU1" s="215"/>
      <c r="BV1" s="215"/>
      <c r="BW1" s="215"/>
      <c r="BX1" s="215"/>
      <c r="BY1" s="215"/>
      <c r="BZ1" s="215"/>
      <c r="CA1" s="215"/>
      <c r="CB1" s="215"/>
    </row>
    <row r="2" spans="1:80" ht="20.100000000000001" customHeight="1">
      <c r="A2" s="217" t="s">
        <v>48</v>
      </c>
      <c r="B2" s="217"/>
      <c r="C2" s="217"/>
      <c r="D2" s="217"/>
      <c r="E2" s="35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218" t="s">
        <v>9</v>
      </c>
      <c r="AT2" s="218"/>
      <c r="AU2" s="218"/>
      <c r="AV2" s="218"/>
      <c r="AW2" s="218"/>
      <c r="AX2" s="218"/>
      <c r="AY2" s="218"/>
      <c r="AZ2" s="218"/>
      <c r="BA2" s="39"/>
      <c r="BB2" s="40" t="s">
        <v>48</v>
      </c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41"/>
      <c r="BT2" s="38"/>
      <c r="BU2" s="38"/>
      <c r="BV2" s="38"/>
      <c r="BW2" s="42"/>
      <c r="BX2" s="219"/>
      <c r="BY2" s="219"/>
      <c r="BZ2" s="219"/>
      <c r="CA2" s="219"/>
      <c r="CB2" s="219"/>
    </row>
    <row r="3" spans="1:80" ht="15.75" customHeight="1">
      <c r="A3" s="220" t="s">
        <v>50</v>
      </c>
      <c r="B3" s="220" t="s">
        <v>51</v>
      </c>
      <c r="C3" s="43"/>
      <c r="D3" s="210" t="s">
        <v>52</v>
      </c>
      <c r="E3" s="44"/>
      <c r="F3" s="211" t="s">
        <v>53</v>
      </c>
      <c r="G3" s="45"/>
      <c r="H3" s="45"/>
      <c r="I3" s="45"/>
      <c r="J3" s="45"/>
      <c r="K3" s="45"/>
      <c r="L3" s="211" t="s">
        <v>54</v>
      </c>
      <c r="M3" s="211" t="s">
        <v>55</v>
      </c>
      <c r="N3" s="211" t="s">
        <v>56</v>
      </c>
      <c r="O3" s="210" t="s">
        <v>57</v>
      </c>
      <c r="P3" s="210" t="s">
        <v>58</v>
      </c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2"/>
      <c r="BT3" s="210"/>
      <c r="BU3" s="210"/>
      <c r="BV3" s="210"/>
      <c r="BW3" s="210"/>
      <c r="BX3" s="210" t="s">
        <v>59</v>
      </c>
      <c r="BY3" s="210" t="s">
        <v>60</v>
      </c>
      <c r="BZ3" s="222" t="s">
        <v>61</v>
      </c>
      <c r="CA3" s="210" t="s">
        <v>62</v>
      </c>
      <c r="CB3" s="210" t="s">
        <v>63</v>
      </c>
    </row>
    <row r="4" spans="1:80" ht="35.25" customHeight="1">
      <c r="A4" s="220"/>
      <c r="B4" s="220"/>
      <c r="C4" s="43"/>
      <c r="D4" s="210"/>
      <c r="E4" s="44"/>
      <c r="F4" s="211"/>
      <c r="G4" s="45"/>
      <c r="H4" s="45"/>
      <c r="I4" s="45"/>
      <c r="J4" s="45"/>
      <c r="K4" s="45"/>
      <c r="L4" s="211"/>
      <c r="M4" s="211"/>
      <c r="N4" s="211"/>
      <c r="O4" s="210"/>
      <c r="P4" s="210" t="s">
        <v>68</v>
      </c>
      <c r="Q4" s="211" t="s">
        <v>69</v>
      </c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45"/>
      <c r="BB4" s="210" t="s">
        <v>52</v>
      </c>
      <c r="BC4" s="211" t="s">
        <v>70</v>
      </c>
      <c r="BD4" s="211"/>
      <c r="BE4" s="211"/>
      <c r="BF4" s="211"/>
      <c r="BG4" s="211"/>
      <c r="BH4" s="45"/>
      <c r="BI4" s="210" t="s">
        <v>71</v>
      </c>
      <c r="BJ4" s="210"/>
      <c r="BK4" s="210"/>
      <c r="BL4" s="210"/>
      <c r="BM4" s="210"/>
      <c r="BN4" s="210"/>
      <c r="BO4" s="210"/>
      <c r="BP4" s="210"/>
      <c r="BQ4" s="210"/>
      <c r="BR4" s="210"/>
      <c r="BS4" s="212"/>
      <c r="BT4" s="210"/>
      <c r="BU4" s="210"/>
      <c r="BV4" s="210"/>
      <c r="BW4" s="210"/>
      <c r="BX4" s="210"/>
      <c r="BY4" s="210"/>
      <c r="BZ4" s="223"/>
      <c r="CA4" s="210"/>
      <c r="CB4" s="210"/>
    </row>
    <row r="5" spans="1:80" ht="25.5" customHeight="1">
      <c r="A5" s="220"/>
      <c r="B5" s="220"/>
      <c r="C5" s="43"/>
      <c r="D5" s="210"/>
      <c r="E5" s="44"/>
      <c r="F5" s="211"/>
      <c r="G5" s="45"/>
      <c r="H5" s="45"/>
      <c r="I5" s="45"/>
      <c r="J5" s="45"/>
      <c r="K5" s="45"/>
      <c r="L5" s="211"/>
      <c r="M5" s="211"/>
      <c r="N5" s="211"/>
      <c r="O5" s="210"/>
      <c r="P5" s="210"/>
      <c r="Q5" s="210" t="s">
        <v>72</v>
      </c>
      <c r="R5" s="210" t="s">
        <v>73</v>
      </c>
      <c r="S5" s="210" t="s">
        <v>74</v>
      </c>
      <c r="T5" s="210" t="s">
        <v>75</v>
      </c>
      <c r="U5" s="210" t="s">
        <v>76</v>
      </c>
      <c r="V5" s="210" t="s">
        <v>77</v>
      </c>
      <c r="W5" s="210"/>
      <c r="X5" s="210"/>
      <c r="Y5" s="210"/>
      <c r="Z5" s="210"/>
      <c r="AA5" s="210"/>
      <c r="AB5" s="210" t="s">
        <v>78</v>
      </c>
      <c r="AC5" s="46"/>
      <c r="AD5" s="46"/>
      <c r="AE5" s="46"/>
      <c r="AF5" s="46"/>
      <c r="AG5" s="210" t="s">
        <v>79</v>
      </c>
      <c r="AH5" s="210" t="s">
        <v>80</v>
      </c>
      <c r="AI5" s="211" t="s">
        <v>81</v>
      </c>
      <c r="AJ5" s="211" t="s">
        <v>82</v>
      </c>
      <c r="AK5" s="45"/>
      <c r="AL5" s="211" t="s">
        <v>83</v>
      </c>
      <c r="AM5" s="211" t="s">
        <v>84</v>
      </c>
      <c r="AN5" s="45"/>
      <c r="AO5" s="45"/>
      <c r="AP5" s="45"/>
      <c r="AQ5" s="45"/>
      <c r="AR5" s="211" t="s">
        <v>85</v>
      </c>
      <c r="AS5" s="211" t="s">
        <v>86</v>
      </c>
      <c r="AT5" s="45"/>
      <c r="AU5" s="45"/>
      <c r="AV5" s="45"/>
      <c r="AW5" s="45"/>
      <c r="AX5" s="211" t="s">
        <v>87</v>
      </c>
      <c r="AY5" s="211" t="s">
        <v>88</v>
      </c>
      <c r="AZ5" s="211" t="s">
        <v>89</v>
      </c>
      <c r="BA5" s="45"/>
      <c r="BB5" s="210"/>
      <c r="BC5" s="211" t="s">
        <v>72</v>
      </c>
      <c r="BD5" s="211" t="s">
        <v>90</v>
      </c>
      <c r="BE5" s="211" t="s">
        <v>91</v>
      </c>
      <c r="BF5" s="211" t="s">
        <v>92</v>
      </c>
      <c r="BG5" s="211" t="s">
        <v>93</v>
      </c>
      <c r="BH5" s="213" t="s">
        <v>94</v>
      </c>
      <c r="BI5" s="211" t="s">
        <v>72</v>
      </c>
      <c r="BJ5" s="210" t="s">
        <v>95</v>
      </c>
      <c r="BK5" s="210"/>
      <c r="BL5" s="210"/>
      <c r="BM5" s="210"/>
      <c r="BN5" s="210" t="s">
        <v>96</v>
      </c>
      <c r="BO5" s="210" t="s">
        <v>97</v>
      </c>
      <c r="BP5" s="210" t="s">
        <v>98</v>
      </c>
      <c r="BQ5" s="210" t="s">
        <v>99</v>
      </c>
      <c r="BR5" s="210" t="s">
        <v>100</v>
      </c>
      <c r="BS5" s="212" t="s">
        <v>101</v>
      </c>
      <c r="BT5" s="210" t="s">
        <v>102</v>
      </c>
      <c r="BU5" s="210" t="s">
        <v>103</v>
      </c>
      <c r="BV5" s="210" t="s">
        <v>104</v>
      </c>
      <c r="BW5" s="210" t="s">
        <v>105</v>
      </c>
      <c r="BX5" s="210"/>
      <c r="BY5" s="210"/>
      <c r="BZ5" s="223"/>
      <c r="CA5" s="210"/>
      <c r="CB5" s="210"/>
    </row>
    <row r="6" spans="1:80" ht="85.5" customHeight="1">
      <c r="A6" s="220"/>
      <c r="B6" s="220"/>
      <c r="C6" s="43"/>
      <c r="D6" s="210"/>
      <c r="E6" s="44" t="s">
        <v>106</v>
      </c>
      <c r="F6" s="211"/>
      <c r="G6" s="45" t="s">
        <v>107</v>
      </c>
      <c r="H6" s="45" t="s">
        <v>108</v>
      </c>
      <c r="I6" s="45" t="s">
        <v>109</v>
      </c>
      <c r="J6" s="45" t="s">
        <v>110</v>
      </c>
      <c r="K6" s="45" t="s">
        <v>111</v>
      </c>
      <c r="L6" s="211"/>
      <c r="M6" s="211"/>
      <c r="N6" s="211"/>
      <c r="O6" s="210"/>
      <c r="P6" s="210"/>
      <c r="Q6" s="210"/>
      <c r="R6" s="210"/>
      <c r="S6" s="210"/>
      <c r="T6" s="210"/>
      <c r="U6" s="210"/>
      <c r="V6" s="44" t="s">
        <v>112</v>
      </c>
      <c r="W6" s="44" t="s">
        <v>113</v>
      </c>
      <c r="X6" s="44" t="s">
        <v>114</v>
      </c>
      <c r="Y6" s="44" t="s">
        <v>115</v>
      </c>
      <c r="Z6" s="44" t="s">
        <v>116</v>
      </c>
      <c r="AA6" s="44" t="s">
        <v>117</v>
      </c>
      <c r="AB6" s="210"/>
      <c r="AC6" s="46" t="s">
        <v>118</v>
      </c>
      <c r="AD6" s="46" t="s">
        <v>119</v>
      </c>
      <c r="AE6" s="46" t="s">
        <v>120</v>
      </c>
      <c r="AF6" s="46" t="s">
        <v>121</v>
      </c>
      <c r="AG6" s="210"/>
      <c r="AH6" s="210"/>
      <c r="AI6" s="211"/>
      <c r="AJ6" s="211"/>
      <c r="AK6" s="45"/>
      <c r="AL6" s="211"/>
      <c r="AM6" s="211"/>
      <c r="AN6" s="45" t="s">
        <v>122</v>
      </c>
      <c r="AO6" s="45"/>
      <c r="AP6" s="45" t="s">
        <v>123</v>
      </c>
      <c r="AQ6" s="45"/>
      <c r="AR6" s="211"/>
      <c r="AS6" s="211"/>
      <c r="AT6" s="45" t="s">
        <v>124</v>
      </c>
      <c r="AU6" s="45"/>
      <c r="AV6" s="45" t="s">
        <v>125</v>
      </c>
      <c r="AW6" s="45"/>
      <c r="AX6" s="211"/>
      <c r="AY6" s="211"/>
      <c r="AZ6" s="211"/>
      <c r="BA6" s="45"/>
      <c r="BB6" s="210"/>
      <c r="BC6" s="211"/>
      <c r="BD6" s="211"/>
      <c r="BE6" s="211"/>
      <c r="BF6" s="211"/>
      <c r="BG6" s="211"/>
      <c r="BH6" s="214"/>
      <c r="BI6" s="211"/>
      <c r="BJ6" s="44" t="s">
        <v>112</v>
      </c>
      <c r="BK6" s="44" t="s">
        <v>126</v>
      </c>
      <c r="BL6" s="44" t="s">
        <v>127</v>
      </c>
      <c r="BM6" s="44" t="s">
        <v>128</v>
      </c>
      <c r="BN6" s="210"/>
      <c r="BO6" s="210"/>
      <c r="BP6" s="210"/>
      <c r="BQ6" s="210"/>
      <c r="BR6" s="210"/>
      <c r="BS6" s="212"/>
      <c r="BT6" s="210"/>
      <c r="BU6" s="210"/>
      <c r="BV6" s="210"/>
      <c r="BW6" s="210"/>
      <c r="BX6" s="210"/>
      <c r="BY6" s="210"/>
      <c r="BZ6" s="224"/>
      <c r="CA6" s="210"/>
      <c r="CB6" s="210"/>
    </row>
    <row r="7" spans="1:80" ht="16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43">
        <v>38</v>
      </c>
      <c r="AM7" s="43">
        <v>39</v>
      </c>
      <c r="AN7" s="43">
        <v>40</v>
      </c>
      <c r="AO7" s="43">
        <v>41</v>
      </c>
      <c r="AP7" s="43">
        <v>42</v>
      </c>
      <c r="AQ7" s="43">
        <v>43</v>
      </c>
      <c r="AR7" s="43">
        <v>44</v>
      </c>
      <c r="AS7" s="43">
        <v>45</v>
      </c>
      <c r="AT7" s="43">
        <v>46</v>
      </c>
      <c r="AU7" s="43">
        <v>47</v>
      </c>
      <c r="AV7" s="43">
        <v>48</v>
      </c>
      <c r="AW7" s="43">
        <v>49</v>
      </c>
      <c r="AX7" s="43">
        <v>50</v>
      </c>
      <c r="AY7" s="43">
        <v>51</v>
      </c>
      <c r="AZ7" s="43">
        <v>52</v>
      </c>
      <c r="BA7" s="43">
        <v>53</v>
      </c>
      <c r="BB7" s="43">
        <v>54</v>
      </c>
      <c r="BC7" s="43">
        <v>55</v>
      </c>
      <c r="BD7" s="43">
        <v>56</v>
      </c>
      <c r="BE7" s="43">
        <v>57</v>
      </c>
      <c r="BF7" s="43">
        <v>58</v>
      </c>
      <c r="BG7" s="43">
        <v>59</v>
      </c>
      <c r="BH7" s="43">
        <v>60</v>
      </c>
      <c r="BI7" s="43">
        <v>61</v>
      </c>
      <c r="BJ7" s="43">
        <v>62</v>
      </c>
      <c r="BK7" s="43">
        <v>63</v>
      </c>
      <c r="BL7" s="43">
        <v>64</v>
      </c>
      <c r="BM7" s="43">
        <v>65</v>
      </c>
      <c r="BN7" s="43">
        <v>66</v>
      </c>
      <c r="BO7" s="43">
        <v>67</v>
      </c>
      <c r="BP7" s="43">
        <v>68</v>
      </c>
      <c r="BQ7" s="43">
        <v>69</v>
      </c>
      <c r="BR7" s="43">
        <v>70</v>
      </c>
      <c r="BS7" s="43">
        <v>71</v>
      </c>
      <c r="BT7" s="43">
        <v>72</v>
      </c>
      <c r="BU7" s="43">
        <v>73</v>
      </c>
      <c r="BV7" s="43">
        <v>74</v>
      </c>
      <c r="BW7" s="43">
        <v>75</v>
      </c>
      <c r="BX7" s="43">
        <v>76</v>
      </c>
      <c r="BY7" s="43">
        <v>77</v>
      </c>
      <c r="BZ7" s="43">
        <v>78</v>
      </c>
      <c r="CA7" s="43">
        <v>79</v>
      </c>
      <c r="CB7" s="43">
        <v>80</v>
      </c>
    </row>
    <row r="8" spans="1:80" ht="14.25" customHeight="1">
      <c r="A8" s="47">
        <v>1</v>
      </c>
      <c r="B8" s="47" t="s">
        <v>129</v>
      </c>
      <c r="C8" s="48">
        <v>101001</v>
      </c>
      <c r="D8" s="49" t="s">
        <v>130</v>
      </c>
      <c r="E8" s="49" t="s">
        <v>131</v>
      </c>
      <c r="F8" s="50">
        <f>SUM(G8:K8)</f>
        <v>43</v>
      </c>
      <c r="G8" s="50">
        <v>35</v>
      </c>
      <c r="H8" s="50">
        <v>8</v>
      </c>
      <c r="I8" s="50"/>
      <c r="J8" s="50"/>
      <c r="K8" s="50"/>
      <c r="L8" s="50"/>
      <c r="M8" s="50"/>
      <c r="N8" s="50">
        <v>26</v>
      </c>
      <c r="O8" s="50">
        <f>F8+L8+M8+N8</f>
        <v>69</v>
      </c>
      <c r="P8" s="51">
        <f t="shared" ref="P8:P71" si="0">Q8+BC8+BI8</f>
        <v>956.64509999999996</v>
      </c>
      <c r="Q8" s="51">
        <f t="shared" ref="Q8:Q71" si="1">U8+V8+AB8+AH8+AI8+AJ8+AL8+AM8+AR8+AS8+AX8+AY8+AZ8</f>
        <v>514.89710000000002</v>
      </c>
      <c r="R8" s="47">
        <f>S8+T8</f>
        <v>159756</v>
      </c>
      <c r="S8" s="52">
        <v>159756</v>
      </c>
      <c r="T8" s="47"/>
      <c r="U8" s="47">
        <f>ROUND(R8*12/10000,5)</f>
        <v>191.7072</v>
      </c>
      <c r="V8" s="51">
        <f t="shared" ref="V8:V158" si="2">SUM(W8:AA8)</f>
        <v>96.75</v>
      </c>
      <c r="W8" s="47">
        <f>ROUND((G8+H8)*2.25,4)</f>
        <v>96.75</v>
      </c>
      <c r="X8" s="47"/>
      <c r="Y8" s="47"/>
      <c r="Z8" s="47"/>
      <c r="AA8" s="47"/>
      <c r="AB8" s="51">
        <f>SUM(AC8:AF8)</f>
        <v>91.74</v>
      </c>
      <c r="AC8" s="47">
        <f>ROUND(S8/10000,4)</f>
        <v>15.9756</v>
      </c>
      <c r="AD8" s="47"/>
      <c r="AE8" s="47"/>
      <c r="AF8" s="47">
        <f>ROUND(AG8*12/10000,4)</f>
        <v>75.764399999999995</v>
      </c>
      <c r="AG8" s="47">
        <v>63137</v>
      </c>
      <c r="AH8" s="47"/>
      <c r="AI8" s="47">
        <f>ROUND(2.59*(I8+J8+K8),4)</f>
        <v>0</v>
      </c>
      <c r="AJ8" s="53">
        <f>ROUND((U8+W8+AC8+AE8+AF8+AI8)*0.16,4)</f>
        <v>60.831600000000002</v>
      </c>
      <c r="AK8" s="53">
        <f>AJ8*10000</f>
        <v>608316</v>
      </c>
      <c r="AL8" s="47"/>
      <c r="AM8" s="47">
        <f t="shared" ref="AM8:AM71" si="3">ROUND(((U8+W8+AI8)*0.085+N8*0.0075),4)</f>
        <v>24.713899999999999</v>
      </c>
      <c r="AN8" s="47">
        <f t="shared" ref="AN8:AN71" si="4">ROUND(((U8+W8+AI8)*0.08+N8*0.0075),4)</f>
        <v>23.271599999999999</v>
      </c>
      <c r="AO8" s="47">
        <f>AN8*10000</f>
        <v>232716</v>
      </c>
      <c r="AP8" s="47">
        <f t="shared" ref="AP8:AP71" si="5">ROUND(((U8+W8+AI8)*0.005),4)</f>
        <v>1.4422999999999999</v>
      </c>
      <c r="AQ8" s="47">
        <f>AP8*10000</f>
        <v>14423</v>
      </c>
      <c r="AR8" s="47"/>
      <c r="AS8" s="47">
        <f>ROUND(((T8*12/10000+AI8)*0.007+(U8+W8+AI8)*0.006),4)</f>
        <v>1.7306999999999999</v>
      </c>
      <c r="AT8" s="47">
        <f t="shared" ref="AT8:AT71" si="6">ROUND(((U8+W8+AI8)*0.006),4)</f>
        <v>1.7306999999999999</v>
      </c>
      <c r="AU8" s="47">
        <f>AT8*10000</f>
        <v>17307</v>
      </c>
      <c r="AV8" s="47">
        <f t="shared" ref="AV8:AV71" si="7">ROUND(((T8*12/10000+AI8)*0.007),4)</f>
        <v>0</v>
      </c>
      <c r="AW8" s="47">
        <f>AV8*10000</f>
        <v>0</v>
      </c>
      <c r="AX8" s="47">
        <f t="shared" ref="AX8:AX71" si="8">ROUND((U8+W8+AC8+AE8+AF8+AI8)*0.12,4)</f>
        <v>45.623699999999999</v>
      </c>
      <c r="AY8" s="47"/>
      <c r="AZ8" s="47">
        <v>1.8</v>
      </c>
      <c r="BA8" s="54">
        <v>1E-4</v>
      </c>
      <c r="BB8" s="55" t="s">
        <v>130</v>
      </c>
      <c r="BC8" s="51">
        <f>BD8+BE8+BG8+BH8</f>
        <v>439.92399999999998</v>
      </c>
      <c r="BD8" s="47">
        <f t="shared" ref="BD8:BD29" si="9">1.2*(G8+H8)+0.96*(I8+J8)</f>
        <v>51.6</v>
      </c>
      <c r="BE8" s="47">
        <f>ROUND(BF8*12/10000,4)</f>
        <v>33.323999999999998</v>
      </c>
      <c r="BF8" s="47">
        <v>27770</v>
      </c>
      <c r="BG8" s="56">
        <v>355</v>
      </c>
      <c r="BH8" s="47"/>
      <c r="BI8" s="51">
        <f t="shared" ref="BI8:BI71" si="10">BJ8+BN8+BO8+BP8+BQ8+BS8+BT8+BU8+BV8+BW8+BR8</f>
        <v>1.8240000000000001</v>
      </c>
      <c r="BJ8" s="51">
        <f t="shared" ref="BJ8:BJ71" si="11">BL8+BM8+BK8</f>
        <v>0</v>
      </c>
      <c r="BK8" s="47"/>
      <c r="BL8" s="47"/>
      <c r="BM8" s="47"/>
      <c r="BN8" s="47"/>
      <c r="BO8" s="47"/>
      <c r="BP8" s="47">
        <v>1.8240000000000001</v>
      </c>
      <c r="BQ8" s="47"/>
      <c r="BR8" s="47"/>
      <c r="BS8" s="53"/>
      <c r="BT8" s="47"/>
      <c r="BU8" s="47"/>
      <c r="BV8" s="47"/>
      <c r="BW8" s="47"/>
      <c r="BX8" s="47"/>
      <c r="BY8" s="47"/>
      <c r="BZ8" s="47"/>
      <c r="CA8" s="47"/>
      <c r="CB8" s="54">
        <f t="shared" ref="CB8:CB39" si="12">P8+BX8+BZ8+BY8+CA8</f>
        <v>956.64509999999996</v>
      </c>
    </row>
    <row r="9" spans="1:80" ht="14.25" customHeight="1">
      <c r="A9" s="47">
        <v>2</v>
      </c>
      <c r="B9" s="47" t="s">
        <v>129</v>
      </c>
      <c r="C9" s="48">
        <v>103001</v>
      </c>
      <c r="D9" s="49" t="s">
        <v>132</v>
      </c>
      <c r="E9" s="49" t="s">
        <v>131</v>
      </c>
      <c r="F9" s="50">
        <f t="shared" ref="F9:F72" si="13">SUM(G9:K9)</f>
        <v>54</v>
      </c>
      <c r="G9" s="50">
        <v>45</v>
      </c>
      <c r="H9" s="50">
        <v>6</v>
      </c>
      <c r="I9" s="50">
        <v>3</v>
      </c>
      <c r="J9" s="50"/>
      <c r="K9" s="50"/>
      <c r="L9" s="50"/>
      <c r="M9" s="50">
        <v>1</v>
      </c>
      <c r="N9" s="50">
        <v>36</v>
      </c>
      <c r="O9" s="50">
        <f t="shared" ref="O9:O72" si="14">F9+L9+M9+N9</f>
        <v>91</v>
      </c>
      <c r="P9" s="51">
        <f t="shared" si="0"/>
        <v>1092.7037</v>
      </c>
      <c r="Q9" s="51">
        <f t="shared" si="1"/>
        <v>723.21270000000004</v>
      </c>
      <c r="R9" s="47">
        <f t="shared" ref="R9:R72" si="15">S9+T9</f>
        <v>238281</v>
      </c>
      <c r="S9" s="58">
        <v>231792</v>
      </c>
      <c r="T9" s="51">
        <v>6489</v>
      </c>
      <c r="U9" s="47">
        <f t="shared" ref="U9:U72" si="16">ROUND(R9*12/10000,5)</f>
        <v>285.93720000000002</v>
      </c>
      <c r="V9" s="51">
        <f t="shared" si="2"/>
        <v>114.75</v>
      </c>
      <c r="W9" s="47">
        <f t="shared" ref="W9:W72" si="17">ROUND((G9+H9)*2.25,4)</f>
        <v>114.75</v>
      </c>
      <c r="X9" s="47"/>
      <c r="Y9" s="47"/>
      <c r="Z9" s="47"/>
      <c r="AA9" s="47"/>
      <c r="AB9" s="51">
        <f t="shared" ref="AB9:AB72" si="18">SUM(AC9:AF9)</f>
        <v>127.21799999999999</v>
      </c>
      <c r="AC9" s="47">
        <f t="shared" ref="AC9:AC72" si="19">ROUND(S9/10000,4)</f>
        <v>23.179200000000002</v>
      </c>
      <c r="AD9" s="47"/>
      <c r="AE9" s="47"/>
      <c r="AF9" s="47">
        <f t="shared" ref="AF9:AF72" si="20">ROUND(AG9*12/10000,4)</f>
        <v>104.03879999999999</v>
      </c>
      <c r="AG9" s="47">
        <v>86699</v>
      </c>
      <c r="AH9" s="47"/>
      <c r="AI9" s="47">
        <f t="shared" ref="AI9:AI72" si="21">ROUND(2.59*(I9+J9+K9),4)</f>
        <v>7.77</v>
      </c>
      <c r="AJ9" s="53">
        <f t="shared" ref="AJ9:AJ72" si="22">ROUND((U9+W9+AC9+AE9+AF9+AI9)*0.16,4)</f>
        <v>85.707999999999998</v>
      </c>
      <c r="AK9" s="53">
        <f t="shared" ref="AK9:AK72" si="23">AJ9*10000</f>
        <v>857080</v>
      </c>
      <c r="AL9" s="47"/>
      <c r="AM9" s="47">
        <f t="shared" si="3"/>
        <v>34.988900000000001</v>
      </c>
      <c r="AN9" s="47">
        <f t="shared" si="4"/>
        <v>32.946599999999997</v>
      </c>
      <c r="AO9" s="47">
        <f t="shared" ref="AO9:AO72" si="24">AN9*10000</f>
        <v>329465.99999999994</v>
      </c>
      <c r="AP9" s="47">
        <f t="shared" si="5"/>
        <v>2.0423</v>
      </c>
      <c r="AQ9" s="47">
        <f t="shared" ref="AQ9:AQ72" si="25">AP9*10000</f>
        <v>20423</v>
      </c>
      <c r="AR9" s="47"/>
      <c r="AS9" s="47">
        <f t="shared" ref="AS9:AS72" si="26">ROUND(((T9*12/10000+AI9)*0.007+(U9+W9+AI9)*0.006),4)</f>
        <v>2.5596000000000001</v>
      </c>
      <c r="AT9" s="47">
        <f t="shared" si="6"/>
        <v>2.4506999999999999</v>
      </c>
      <c r="AU9" s="47">
        <f t="shared" ref="AU9:AU72" si="27">AT9*10000</f>
        <v>24507</v>
      </c>
      <c r="AV9" s="47">
        <f t="shared" si="7"/>
        <v>0.1089</v>
      </c>
      <c r="AW9" s="47">
        <f t="shared" ref="AW9:AW72" si="28">AV9*10000</f>
        <v>1089</v>
      </c>
      <c r="AX9" s="47">
        <f t="shared" si="8"/>
        <v>64.281000000000006</v>
      </c>
      <c r="AY9" s="47"/>
      <c r="AZ9" s="47"/>
      <c r="BA9" s="54">
        <v>1E-4</v>
      </c>
      <c r="BB9" s="55" t="s">
        <v>132</v>
      </c>
      <c r="BC9" s="51">
        <f t="shared" ref="BC9:BC72" si="29">BD9+BE9+BG9+BH9</f>
        <v>363.24799999999999</v>
      </c>
      <c r="BD9" s="47">
        <f t="shared" si="9"/>
        <v>64.08</v>
      </c>
      <c r="BE9" s="47">
        <f t="shared" ref="BE9:BE72" si="30">ROUND(BF9*12/10000,4)</f>
        <v>48.167999999999999</v>
      </c>
      <c r="BF9" s="47">
        <v>40140</v>
      </c>
      <c r="BG9" s="56">
        <f>221+30</f>
        <v>251</v>
      </c>
      <c r="BH9" s="47"/>
      <c r="BI9" s="51">
        <f t="shared" si="10"/>
        <v>6.2430000000000003</v>
      </c>
      <c r="BJ9" s="51">
        <f t="shared" si="11"/>
        <v>3.2669999999999999</v>
      </c>
      <c r="BK9" s="47"/>
      <c r="BL9" s="47">
        <v>3.2669999999999999</v>
      </c>
      <c r="BM9" s="47"/>
      <c r="BN9" s="47"/>
      <c r="BO9" s="47"/>
      <c r="BP9" s="47">
        <v>2.976</v>
      </c>
      <c r="BQ9" s="47"/>
      <c r="BR9" s="47"/>
      <c r="BS9" s="53"/>
      <c r="BT9" s="47"/>
      <c r="BU9" s="47"/>
      <c r="BV9" s="47"/>
      <c r="BW9" s="47"/>
      <c r="BX9" s="47"/>
      <c r="BY9" s="47"/>
      <c r="BZ9" s="47"/>
      <c r="CA9" s="47"/>
      <c r="CB9" s="54">
        <f t="shared" si="12"/>
        <v>1092.7037</v>
      </c>
    </row>
    <row r="10" spans="1:80" ht="14.25" customHeight="1">
      <c r="A10" s="47">
        <v>3</v>
      </c>
      <c r="B10" s="47" t="s">
        <v>129</v>
      </c>
      <c r="C10" s="48">
        <v>102001</v>
      </c>
      <c r="D10" s="49" t="s">
        <v>133</v>
      </c>
      <c r="E10" s="49" t="s">
        <v>131</v>
      </c>
      <c r="F10" s="50">
        <f t="shared" si="13"/>
        <v>55</v>
      </c>
      <c r="G10" s="50">
        <v>37</v>
      </c>
      <c r="H10" s="50">
        <v>6</v>
      </c>
      <c r="I10" s="50">
        <v>12</v>
      </c>
      <c r="J10" s="50"/>
      <c r="K10" s="50"/>
      <c r="L10" s="50"/>
      <c r="M10" s="50"/>
      <c r="N10" s="50">
        <v>27</v>
      </c>
      <c r="O10" s="50">
        <f t="shared" si="14"/>
        <v>82</v>
      </c>
      <c r="P10" s="51">
        <f t="shared" si="0"/>
        <v>1131.6686999999999</v>
      </c>
      <c r="Q10" s="51">
        <f t="shared" si="1"/>
        <v>689.10069999999996</v>
      </c>
      <c r="R10" s="47">
        <f t="shared" si="15"/>
        <v>220744</v>
      </c>
      <c r="S10" s="52">
        <v>182096</v>
      </c>
      <c r="T10" s="47">
        <v>38648</v>
      </c>
      <c r="U10" s="47">
        <f t="shared" si="16"/>
        <v>264.89280000000002</v>
      </c>
      <c r="V10" s="51">
        <f t="shared" si="2"/>
        <v>96.75</v>
      </c>
      <c r="W10" s="47">
        <f t="shared" si="17"/>
        <v>96.75</v>
      </c>
      <c r="X10" s="47"/>
      <c r="Y10" s="47"/>
      <c r="Z10" s="47"/>
      <c r="AA10" s="47"/>
      <c r="AB10" s="51">
        <f t="shared" si="18"/>
        <v>117.1352</v>
      </c>
      <c r="AC10" s="47">
        <f t="shared" si="19"/>
        <v>18.209599999999998</v>
      </c>
      <c r="AD10" s="47"/>
      <c r="AE10" s="47"/>
      <c r="AF10" s="47">
        <f t="shared" si="20"/>
        <v>98.925600000000003</v>
      </c>
      <c r="AG10" s="47">
        <v>82438</v>
      </c>
      <c r="AH10" s="47"/>
      <c r="AI10" s="47">
        <f t="shared" si="21"/>
        <v>31.08</v>
      </c>
      <c r="AJ10" s="53">
        <f t="shared" si="22"/>
        <v>81.577299999999994</v>
      </c>
      <c r="AK10" s="53">
        <f t="shared" si="23"/>
        <v>815772.99999999988</v>
      </c>
      <c r="AL10" s="47"/>
      <c r="AM10" s="47">
        <f t="shared" si="3"/>
        <v>33.5839</v>
      </c>
      <c r="AN10" s="47">
        <f t="shared" si="4"/>
        <v>31.6203</v>
      </c>
      <c r="AO10" s="47">
        <f t="shared" si="24"/>
        <v>316203</v>
      </c>
      <c r="AP10" s="47">
        <f t="shared" si="5"/>
        <v>1.9636</v>
      </c>
      <c r="AQ10" s="47">
        <f t="shared" si="25"/>
        <v>19636</v>
      </c>
      <c r="AR10" s="47"/>
      <c r="AS10" s="47">
        <f t="shared" si="26"/>
        <v>2.8984999999999999</v>
      </c>
      <c r="AT10" s="47">
        <f t="shared" si="6"/>
        <v>2.3563000000000001</v>
      </c>
      <c r="AU10" s="47">
        <f t="shared" si="27"/>
        <v>23563</v>
      </c>
      <c r="AV10" s="47">
        <f t="shared" si="7"/>
        <v>0.54220000000000002</v>
      </c>
      <c r="AW10" s="47">
        <f t="shared" si="28"/>
        <v>5422</v>
      </c>
      <c r="AX10" s="47">
        <f t="shared" si="8"/>
        <v>61.183</v>
      </c>
      <c r="AY10" s="47"/>
      <c r="AZ10" s="47"/>
      <c r="BA10" s="54">
        <v>1E-4</v>
      </c>
      <c r="BB10" s="55" t="s">
        <v>133</v>
      </c>
      <c r="BC10" s="51">
        <f t="shared" si="29"/>
        <v>442.56799999999998</v>
      </c>
      <c r="BD10" s="47">
        <f t="shared" si="9"/>
        <v>63.120000000000005</v>
      </c>
      <c r="BE10" s="47">
        <f t="shared" si="30"/>
        <v>38.448</v>
      </c>
      <c r="BF10" s="47">
        <v>32040</v>
      </c>
      <c r="BG10" s="56">
        <v>341</v>
      </c>
      <c r="BH10" s="47"/>
      <c r="BI10" s="51">
        <f t="shared" si="10"/>
        <v>0</v>
      </c>
      <c r="BJ10" s="51">
        <f t="shared" si="11"/>
        <v>0</v>
      </c>
      <c r="BK10" s="47"/>
      <c r="BL10" s="47"/>
      <c r="BM10" s="47"/>
      <c r="BN10" s="47"/>
      <c r="BO10" s="47"/>
      <c r="BP10" s="47"/>
      <c r="BQ10" s="47"/>
      <c r="BR10" s="47"/>
      <c r="BS10" s="53"/>
      <c r="BT10" s="47"/>
      <c r="BU10" s="47"/>
      <c r="BV10" s="47"/>
      <c r="BW10" s="47"/>
      <c r="BX10" s="47"/>
      <c r="BY10" s="47"/>
      <c r="BZ10" s="47"/>
      <c r="CA10" s="47"/>
      <c r="CB10" s="54">
        <f t="shared" si="12"/>
        <v>1131.6686999999999</v>
      </c>
    </row>
    <row r="11" spans="1:80" ht="14.25" customHeight="1">
      <c r="A11" s="47">
        <v>4</v>
      </c>
      <c r="B11" s="47" t="s">
        <v>129</v>
      </c>
      <c r="C11" s="48">
        <v>104001</v>
      </c>
      <c r="D11" s="49" t="s">
        <v>134</v>
      </c>
      <c r="E11" s="49" t="s">
        <v>131</v>
      </c>
      <c r="F11" s="50">
        <f t="shared" si="13"/>
        <v>28</v>
      </c>
      <c r="G11" s="50">
        <v>25</v>
      </c>
      <c r="H11" s="50">
        <v>2</v>
      </c>
      <c r="I11" s="50">
        <v>1</v>
      </c>
      <c r="J11" s="50"/>
      <c r="K11" s="50"/>
      <c r="L11" s="50"/>
      <c r="M11" s="50"/>
      <c r="N11" s="50">
        <v>30</v>
      </c>
      <c r="O11" s="50">
        <f t="shared" si="14"/>
        <v>58</v>
      </c>
      <c r="P11" s="51">
        <f t="shared" si="0"/>
        <v>615.60299999999995</v>
      </c>
      <c r="Q11" s="51">
        <f t="shared" si="1"/>
        <v>373.97059999999999</v>
      </c>
      <c r="R11" s="47">
        <f t="shared" si="15"/>
        <v>122449</v>
      </c>
      <c r="S11" s="52">
        <v>119300</v>
      </c>
      <c r="T11" s="47">
        <v>3149</v>
      </c>
      <c r="U11" s="47">
        <f t="shared" si="16"/>
        <v>146.93879999999999</v>
      </c>
      <c r="V11" s="51">
        <f t="shared" si="2"/>
        <v>60.75</v>
      </c>
      <c r="W11" s="47">
        <f t="shared" si="17"/>
        <v>60.75</v>
      </c>
      <c r="X11" s="47"/>
      <c r="Y11" s="47"/>
      <c r="Z11" s="47"/>
      <c r="AA11" s="47"/>
      <c r="AB11" s="51">
        <f t="shared" si="18"/>
        <v>66.7256</v>
      </c>
      <c r="AC11" s="47">
        <f t="shared" si="19"/>
        <v>11.93</v>
      </c>
      <c r="AD11" s="47"/>
      <c r="AE11" s="47"/>
      <c r="AF11" s="47">
        <f t="shared" si="20"/>
        <v>54.7956</v>
      </c>
      <c r="AG11" s="47">
        <v>45663</v>
      </c>
      <c r="AH11" s="47"/>
      <c r="AI11" s="47">
        <f t="shared" si="21"/>
        <v>2.59</v>
      </c>
      <c r="AJ11" s="53">
        <f t="shared" si="22"/>
        <v>44.320700000000002</v>
      </c>
      <c r="AK11" s="53">
        <f t="shared" si="23"/>
        <v>443207</v>
      </c>
      <c r="AL11" s="47"/>
      <c r="AM11" s="47">
        <f t="shared" si="3"/>
        <v>18.098700000000001</v>
      </c>
      <c r="AN11" s="47">
        <f t="shared" si="4"/>
        <v>17.0473</v>
      </c>
      <c r="AO11" s="47">
        <f t="shared" si="24"/>
        <v>170473</v>
      </c>
      <c r="AP11" s="47">
        <f t="shared" si="5"/>
        <v>1.0513999999999999</v>
      </c>
      <c r="AQ11" s="47">
        <f t="shared" si="25"/>
        <v>10513.999999999998</v>
      </c>
      <c r="AR11" s="47"/>
      <c r="AS11" s="47">
        <f t="shared" si="26"/>
        <v>1.3063</v>
      </c>
      <c r="AT11" s="47">
        <f t="shared" si="6"/>
        <v>1.2617</v>
      </c>
      <c r="AU11" s="47">
        <f t="shared" si="27"/>
        <v>12617</v>
      </c>
      <c r="AV11" s="47">
        <f t="shared" si="7"/>
        <v>4.4600000000000001E-2</v>
      </c>
      <c r="AW11" s="47">
        <f t="shared" si="28"/>
        <v>446</v>
      </c>
      <c r="AX11" s="47">
        <f t="shared" si="8"/>
        <v>33.240499999999997</v>
      </c>
      <c r="AY11" s="47"/>
      <c r="AZ11" s="47"/>
      <c r="BA11" s="54">
        <v>1E-4</v>
      </c>
      <c r="BB11" s="55" t="s">
        <v>134</v>
      </c>
      <c r="BC11" s="51">
        <f t="shared" si="29"/>
        <v>240.376</v>
      </c>
      <c r="BD11" s="47">
        <f t="shared" si="9"/>
        <v>33.36</v>
      </c>
      <c r="BE11" s="47">
        <f t="shared" si="30"/>
        <v>26.015999999999998</v>
      </c>
      <c r="BF11" s="47">
        <v>21680</v>
      </c>
      <c r="BG11" s="56">
        <v>181</v>
      </c>
      <c r="BH11" s="47"/>
      <c r="BI11" s="51">
        <f t="shared" si="10"/>
        <v>1.2564</v>
      </c>
      <c r="BJ11" s="51">
        <f t="shared" si="11"/>
        <v>0</v>
      </c>
      <c r="BK11" s="47"/>
      <c r="BL11" s="47"/>
      <c r="BM11" s="47"/>
      <c r="BN11" s="47"/>
      <c r="BO11" s="47"/>
      <c r="BP11" s="47">
        <v>1.2564</v>
      </c>
      <c r="BQ11" s="47"/>
      <c r="BR11" s="47"/>
      <c r="BS11" s="53"/>
      <c r="BT11" s="47"/>
      <c r="BU11" s="47"/>
      <c r="BV11" s="47"/>
      <c r="BW11" s="47"/>
      <c r="BX11" s="47"/>
      <c r="BY11" s="47"/>
      <c r="BZ11" s="47"/>
      <c r="CA11" s="47"/>
      <c r="CB11" s="54">
        <f t="shared" si="12"/>
        <v>615.60299999999995</v>
      </c>
    </row>
    <row r="12" spans="1:80" ht="14.25" customHeight="1">
      <c r="A12" s="47">
        <v>5</v>
      </c>
      <c r="B12" s="47" t="s">
        <v>129</v>
      </c>
      <c r="C12" s="48">
        <v>105001</v>
      </c>
      <c r="D12" s="49" t="s">
        <v>135</v>
      </c>
      <c r="E12" s="49" t="s">
        <v>131</v>
      </c>
      <c r="F12" s="50">
        <f t="shared" si="13"/>
        <v>108</v>
      </c>
      <c r="G12" s="50">
        <v>101</v>
      </c>
      <c r="H12" s="50">
        <v>2</v>
      </c>
      <c r="I12" s="50">
        <v>4</v>
      </c>
      <c r="J12" s="50">
        <v>1</v>
      </c>
      <c r="K12" s="50"/>
      <c r="L12" s="50"/>
      <c r="M12" s="50"/>
      <c r="N12" s="50">
        <v>19</v>
      </c>
      <c r="O12" s="50">
        <f t="shared" si="14"/>
        <v>127</v>
      </c>
      <c r="P12" s="51">
        <f t="shared" si="0"/>
        <v>2077.9047999999998</v>
      </c>
      <c r="Q12" s="51">
        <f t="shared" si="1"/>
        <v>1299.1848</v>
      </c>
      <c r="R12" s="47">
        <f t="shared" si="15"/>
        <v>385290</v>
      </c>
      <c r="S12" s="52">
        <v>372440</v>
      </c>
      <c r="T12" s="47">
        <v>12850</v>
      </c>
      <c r="U12" s="47">
        <f t="shared" si="16"/>
        <v>462.34800000000001</v>
      </c>
      <c r="V12" s="51">
        <f t="shared" si="2"/>
        <v>269.952</v>
      </c>
      <c r="W12" s="47">
        <f t="shared" si="17"/>
        <v>231.75</v>
      </c>
      <c r="X12" s="47"/>
      <c r="Y12" s="47"/>
      <c r="Z12" s="47"/>
      <c r="AA12" s="47">
        <v>38.201999999999998</v>
      </c>
      <c r="AB12" s="51">
        <f t="shared" si="18"/>
        <v>227.5616</v>
      </c>
      <c r="AC12" s="47">
        <v>37.244</v>
      </c>
      <c r="AD12" s="47"/>
      <c r="AE12" s="47"/>
      <c r="AF12" s="47">
        <f t="shared" si="20"/>
        <v>190.3176</v>
      </c>
      <c r="AG12" s="47">
        <v>158598</v>
      </c>
      <c r="AH12" s="47"/>
      <c r="AI12" s="47">
        <f t="shared" si="21"/>
        <v>12.95</v>
      </c>
      <c r="AJ12" s="53">
        <f t="shared" si="22"/>
        <v>149.53749999999999</v>
      </c>
      <c r="AK12" s="53">
        <f t="shared" si="23"/>
        <v>1495375</v>
      </c>
      <c r="AL12" s="47"/>
      <c r="AM12" s="47">
        <f t="shared" si="3"/>
        <v>60.241599999999998</v>
      </c>
      <c r="AN12" s="47">
        <f t="shared" si="4"/>
        <v>56.706299999999999</v>
      </c>
      <c r="AO12" s="47">
        <f t="shared" si="24"/>
        <v>567063</v>
      </c>
      <c r="AP12" s="47">
        <f t="shared" si="5"/>
        <v>3.5352000000000001</v>
      </c>
      <c r="AQ12" s="47">
        <f t="shared" si="25"/>
        <v>35352</v>
      </c>
      <c r="AR12" s="47"/>
      <c r="AS12" s="47">
        <f t="shared" si="26"/>
        <v>4.4409000000000001</v>
      </c>
      <c r="AT12" s="47">
        <f t="shared" si="6"/>
        <v>4.2423000000000002</v>
      </c>
      <c r="AU12" s="47">
        <f t="shared" si="27"/>
        <v>42423</v>
      </c>
      <c r="AV12" s="47">
        <f t="shared" si="7"/>
        <v>0.1986</v>
      </c>
      <c r="AW12" s="47">
        <f t="shared" si="28"/>
        <v>1986</v>
      </c>
      <c r="AX12" s="47">
        <f t="shared" si="8"/>
        <v>112.1532</v>
      </c>
      <c r="AY12" s="47"/>
      <c r="AZ12" s="47"/>
      <c r="BA12" s="54">
        <v>1E-4</v>
      </c>
      <c r="BB12" s="55" t="s">
        <v>135</v>
      </c>
      <c r="BC12" s="51">
        <f t="shared" si="29"/>
        <v>775.40800000000002</v>
      </c>
      <c r="BD12" s="47">
        <f>2.5*(G12+H12)+0.96*(I12+J12)</f>
        <v>262.3</v>
      </c>
      <c r="BE12" s="47">
        <f t="shared" si="30"/>
        <v>78.108000000000004</v>
      </c>
      <c r="BF12" s="47">
        <v>65090</v>
      </c>
      <c r="BG12" s="56">
        <v>120</v>
      </c>
      <c r="BH12" s="47">
        <v>315</v>
      </c>
      <c r="BI12" s="51">
        <f t="shared" si="10"/>
        <v>3.3119999999999998</v>
      </c>
      <c r="BJ12" s="51">
        <f t="shared" si="11"/>
        <v>0</v>
      </c>
      <c r="BK12" s="47"/>
      <c r="BL12" s="47"/>
      <c r="BM12" s="47"/>
      <c r="BN12" s="47"/>
      <c r="BO12" s="47"/>
      <c r="BP12" s="47">
        <v>3.3119999999999998</v>
      </c>
      <c r="BQ12" s="47"/>
      <c r="BR12" s="47"/>
      <c r="BS12" s="53"/>
      <c r="BT12" s="47"/>
      <c r="BU12" s="47"/>
      <c r="BV12" s="47"/>
      <c r="BW12" s="47"/>
      <c r="BX12" s="47"/>
      <c r="BY12" s="47"/>
      <c r="BZ12" s="47"/>
      <c r="CA12" s="47"/>
      <c r="CB12" s="54">
        <f t="shared" si="12"/>
        <v>2077.9047999999998</v>
      </c>
    </row>
    <row r="13" spans="1:80" ht="14.25" customHeight="1">
      <c r="A13" s="47">
        <v>6</v>
      </c>
      <c r="B13" s="47" t="s">
        <v>129</v>
      </c>
      <c r="C13" s="48">
        <v>109001</v>
      </c>
      <c r="D13" s="49" t="s">
        <v>136</v>
      </c>
      <c r="E13" s="49" t="s">
        <v>131</v>
      </c>
      <c r="F13" s="50">
        <f t="shared" si="13"/>
        <v>21</v>
      </c>
      <c r="G13" s="50">
        <v>14</v>
      </c>
      <c r="H13" s="50">
        <v>2</v>
      </c>
      <c r="I13" s="50">
        <v>4</v>
      </c>
      <c r="J13" s="50">
        <v>1</v>
      </c>
      <c r="K13" s="50"/>
      <c r="L13" s="50"/>
      <c r="M13" s="50"/>
      <c r="N13" s="50">
        <v>8</v>
      </c>
      <c r="O13" s="50">
        <f t="shared" si="14"/>
        <v>29</v>
      </c>
      <c r="P13" s="51">
        <f t="shared" si="0"/>
        <v>706.42820000000006</v>
      </c>
      <c r="Q13" s="51">
        <f t="shared" si="1"/>
        <v>264.17419999999998</v>
      </c>
      <c r="R13" s="47">
        <f t="shared" si="15"/>
        <v>74631</v>
      </c>
      <c r="S13" s="52">
        <v>62541</v>
      </c>
      <c r="T13" s="47">
        <v>12090</v>
      </c>
      <c r="U13" s="47">
        <f t="shared" si="16"/>
        <v>89.557199999999995</v>
      </c>
      <c r="V13" s="51">
        <f t="shared" si="2"/>
        <v>56.16</v>
      </c>
      <c r="W13" s="47">
        <f t="shared" si="17"/>
        <v>36</v>
      </c>
      <c r="X13" s="47"/>
      <c r="Y13" s="47"/>
      <c r="Z13" s="47"/>
      <c r="AA13" s="47">
        <v>20.16</v>
      </c>
      <c r="AB13" s="51">
        <f t="shared" si="18"/>
        <v>42.084900000000005</v>
      </c>
      <c r="AC13" s="47">
        <f t="shared" si="19"/>
        <v>6.2541000000000002</v>
      </c>
      <c r="AD13" s="47"/>
      <c r="AE13" s="47"/>
      <c r="AF13" s="47">
        <f t="shared" si="20"/>
        <v>35.830800000000004</v>
      </c>
      <c r="AG13" s="47">
        <v>29859</v>
      </c>
      <c r="AH13" s="47"/>
      <c r="AI13" s="47">
        <f t="shared" si="21"/>
        <v>12.95</v>
      </c>
      <c r="AJ13" s="53">
        <f t="shared" si="22"/>
        <v>28.8947</v>
      </c>
      <c r="AK13" s="53">
        <f t="shared" si="23"/>
        <v>288947</v>
      </c>
      <c r="AL13" s="47"/>
      <c r="AM13" s="47">
        <f t="shared" si="3"/>
        <v>11.8331</v>
      </c>
      <c r="AN13" s="47">
        <f t="shared" si="4"/>
        <v>11.140599999999999</v>
      </c>
      <c r="AO13" s="47">
        <f t="shared" si="24"/>
        <v>111405.99999999999</v>
      </c>
      <c r="AP13" s="47">
        <f t="shared" si="5"/>
        <v>0.6925</v>
      </c>
      <c r="AQ13" s="47">
        <f t="shared" si="25"/>
        <v>6925</v>
      </c>
      <c r="AR13" s="47"/>
      <c r="AS13" s="47">
        <f t="shared" si="26"/>
        <v>1.0232000000000001</v>
      </c>
      <c r="AT13" s="47">
        <f t="shared" si="6"/>
        <v>0.83099999999999996</v>
      </c>
      <c r="AU13" s="47">
        <f t="shared" si="27"/>
        <v>8310</v>
      </c>
      <c r="AV13" s="47">
        <f t="shared" si="7"/>
        <v>0.19220000000000001</v>
      </c>
      <c r="AW13" s="47">
        <f t="shared" si="28"/>
        <v>1922</v>
      </c>
      <c r="AX13" s="47">
        <f t="shared" si="8"/>
        <v>21.671099999999999</v>
      </c>
      <c r="AY13" s="47"/>
      <c r="AZ13" s="47"/>
      <c r="BA13" s="54">
        <v>1E-4</v>
      </c>
      <c r="BB13" s="55" t="s">
        <v>136</v>
      </c>
      <c r="BC13" s="51">
        <f t="shared" si="29"/>
        <v>231.636</v>
      </c>
      <c r="BD13" s="47">
        <f t="shared" si="9"/>
        <v>24</v>
      </c>
      <c r="BE13" s="47">
        <f t="shared" si="30"/>
        <v>12.635999999999999</v>
      </c>
      <c r="BF13" s="47">
        <v>10530</v>
      </c>
      <c r="BG13" s="56">
        <v>6</v>
      </c>
      <c r="BH13" s="47">
        <v>189</v>
      </c>
      <c r="BI13" s="51">
        <f t="shared" si="10"/>
        <v>210.61799999999999</v>
      </c>
      <c r="BJ13" s="51">
        <f t="shared" si="11"/>
        <v>0</v>
      </c>
      <c r="BK13" s="47"/>
      <c r="BL13" s="47"/>
      <c r="BM13" s="47"/>
      <c r="BN13" s="47"/>
      <c r="BO13" s="47"/>
      <c r="BP13" s="47">
        <v>0.61799999999999999</v>
      </c>
      <c r="BQ13" s="47"/>
      <c r="BR13" s="47"/>
      <c r="BS13" s="53"/>
      <c r="BT13" s="47"/>
      <c r="BU13" s="47"/>
      <c r="BV13" s="47"/>
      <c r="BW13" s="47">
        <v>210</v>
      </c>
      <c r="BX13" s="47"/>
      <c r="BY13" s="47"/>
      <c r="BZ13" s="47"/>
      <c r="CA13" s="47"/>
      <c r="CB13" s="54">
        <f t="shared" si="12"/>
        <v>706.42820000000006</v>
      </c>
    </row>
    <row r="14" spans="1:80" ht="14.25" customHeight="1">
      <c r="A14" s="47">
        <v>7</v>
      </c>
      <c r="B14" s="47" t="s">
        <v>129</v>
      </c>
      <c r="C14" s="48">
        <v>106001</v>
      </c>
      <c r="D14" s="49" t="s">
        <v>137</v>
      </c>
      <c r="E14" s="49" t="s">
        <v>131</v>
      </c>
      <c r="F14" s="50">
        <f t="shared" si="13"/>
        <v>33</v>
      </c>
      <c r="G14" s="50">
        <v>30</v>
      </c>
      <c r="H14" s="50"/>
      <c r="I14" s="50">
        <v>3</v>
      </c>
      <c r="J14" s="50"/>
      <c r="K14" s="50"/>
      <c r="L14" s="50"/>
      <c r="M14" s="50"/>
      <c r="N14" s="50">
        <v>9</v>
      </c>
      <c r="O14" s="50">
        <f t="shared" si="14"/>
        <v>42</v>
      </c>
      <c r="P14" s="51">
        <f t="shared" si="0"/>
        <v>873.85829999999987</v>
      </c>
      <c r="Q14" s="51">
        <f t="shared" si="1"/>
        <v>369.18229999999994</v>
      </c>
      <c r="R14" s="47">
        <f t="shared" si="15"/>
        <v>109884</v>
      </c>
      <c r="S14" s="52">
        <v>100962</v>
      </c>
      <c r="T14" s="47">
        <v>8922</v>
      </c>
      <c r="U14" s="47">
        <f t="shared" si="16"/>
        <v>131.86080000000001</v>
      </c>
      <c r="V14" s="51">
        <f t="shared" si="2"/>
        <v>67.5</v>
      </c>
      <c r="W14" s="47">
        <f t="shared" si="17"/>
        <v>67.5</v>
      </c>
      <c r="X14" s="47"/>
      <c r="Y14" s="47"/>
      <c r="Z14" s="47"/>
      <c r="AA14" s="47"/>
      <c r="AB14" s="51">
        <f t="shared" si="18"/>
        <v>66.413399999999996</v>
      </c>
      <c r="AC14" s="47">
        <f t="shared" si="19"/>
        <v>10.0962</v>
      </c>
      <c r="AD14" s="47"/>
      <c r="AE14" s="47"/>
      <c r="AF14" s="47">
        <f t="shared" si="20"/>
        <v>56.3172</v>
      </c>
      <c r="AG14" s="47">
        <v>46931</v>
      </c>
      <c r="AH14" s="47"/>
      <c r="AI14" s="47">
        <f t="shared" si="21"/>
        <v>7.77</v>
      </c>
      <c r="AJ14" s="53">
        <f t="shared" si="22"/>
        <v>43.767099999999999</v>
      </c>
      <c r="AK14" s="53">
        <f t="shared" si="23"/>
        <v>437671</v>
      </c>
      <c r="AL14" s="47"/>
      <c r="AM14" s="47">
        <f t="shared" si="3"/>
        <v>17.6736</v>
      </c>
      <c r="AN14" s="47">
        <f t="shared" si="4"/>
        <v>16.638000000000002</v>
      </c>
      <c r="AO14" s="47">
        <f t="shared" si="24"/>
        <v>166380.00000000003</v>
      </c>
      <c r="AP14" s="47">
        <f t="shared" si="5"/>
        <v>1.0357000000000001</v>
      </c>
      <c r="AQ14" s="47">
        <f t="shared" si="25"/>
        <v>10357</v>
      </c>
      <c r="AR14" s="47"/>
      <c r="AS14" s="47">
        <f t="shared" si="26"/>
        <v>1.3721000000000001</v>
      </c>
      <c r="AT14" s="47">
        <f t="shared" si="6"/>
        <v>1.2427999999999999</v>
      </c>
      <c r="AU14" s="47">
        <f t="shared" si="27"/>
        <v>12427.999999999998</v>
      </c>
      <c r="AV14" s="47">
        <f t="shared" si="7"/>
        <v>0.1293</v>
      </c>
      <c r="AW14" s="47">
        <f t="shared" si="28"/>
        <v>1293</v>
      </c>
      <c r="AX14" s="47">
        <f t="shared" si="8"/>
        <v>32.825299999999999</v>
      </c>
      <c r="AY14" s="47"/>
      <c r="AZ14" s="47"/>
      <c r="BA14" s="54">
        <v>1E-4</v>
      </c>
      <c r="BB14" s="55" t="s">
        <v>137</v>
      </c>
      <c r="BC14" s="51">
        <f t="shared" si="29"/>
        <v>242.76400000000001</v>
      </c>
      <c r="BD14" s="47">
        <f t="shared" si="9"/>
        <v>38.880000000000003</v>
      </c>
      <c r="BE14" s="47">
        <f t="shared" si="30"/>
        <v>22.884</v>
      </c>
      <c r="BF14" s="47">
        <v>19070</v>
      </c>
      <c r="BG14" s="56">
        <v>181</v>
      </c>
      <c r="BH14" s="47"/>
      <c r="BI14" s="51">
        <f t="shared" si="10"/>
        <v>261.91199999999998</v>
      </c>
      <c r="BJ14" s="51">
        <f t="shared" si="11"/>
        <v>0</v>
      </c>
      <c r="BK14" s="47"/>
      <c r="BL14" s="47"/>
      <c r="BM14" s="47"/>
      <c r="BN14" s="47"/>
      <c r="BO14" s="47"/>
      <c r="BP14" s="47">
        <v>1.512</v>
      </c>
      <c r="BQ14" s="47"/>
      <c r="BR14" s="47"/>
      <c r="BS14" s="53"/>
      <c r="BT14" s="47"/>
      <c r="BU14" s="47"/>
      <c r="BV14" s="47"/>
      <c r="BW14" s="47">
        <v>260.39999999999998</v>
      </c>
      <c r="BX14" s="47"/>
      <c r="BY14" s="47"/>
      <c r="BZ14" s="47"/>
      <c r="CA14" s="47"/>
      <c r="CB14" s="54">
        <f t="shared" si="12"/>
        <v>873.85829999999987</v>
      </c>
    </row>
    <row r="15" spans="1:80" ht="14.25" customHeight="1">
      <c r="A15" s="47">
        <v>8</v>
      </c>
      <c r="B15" s="47" t="s">
        <v>129</v>
      </c>
      <c r="C15" s="48">
        <v>107001</v>
      </c>
      <c r="D15" s="49" t="s">
        <v>138</v>
      </c>
      <c r="E15" s="49" t="s">
        <v>131</v>
      </c>
      <c r="F15" s="50">
        <f t="shared" si="13"/>
        <v>19</v>
      </c>
      <c r="G15" s="50">
        <v>17</v>
      </c>
      <c r="H15" s="50">
        <v>1</v>
      </c>
      <c r="I15" s="50">
        <v>1</v>
      </c>
      <c r="J15" s="50"/>
      <c r="K15" s="50"/>
      <c r="L15" s="50"/>
      <c r="M15" s="50"/>
      <c r="N15" s="50">
        <v>6</v>
      </c>
      <c r="O15" s="50">
        <f t="shared" si="14"/>
        <v>25</v>
      </c>
      <c r="P15" s="51">
        <f t="shared" si="0"/>
        <v>453.73059999999998</v>
      </c>
      <c r="Q15" s="51">
        <f t="shared" si="1"/>
        <v>230.38660000000002</v>
      </c>
      <c r="R15" s="47">
        <f t="shared" si="15"/>
        <v>71755</v>
      </c>
      <c r="S15" s="52">
        <v>69032</v>
      </c>
      <c r="T15" s="47">
        <v>2723</v>
      </c>
      <c r="U15" s="47">
        <f t="shared" si="16"/>
        <v>86.105999999999995</v>
      </c>
      <c r="V15" s="51">
        <f t="shared" si="2"/>
        <v>40.5</v>
      </c>
      <c r="W15" s="47">
        <f t="shared" si="17"/>
        <v>40.5</v>
      </c>
      <c r="X15" s="47"/>
      <c r="Y15" s="47"/>
      <c r="Z15" s="47"/>
      <c r="AA15" s="47"/>
      <c r="AB15" s="51">
        <f t="shared" si="18"/>
        <v>41.541199999999996</v>
      </c>
      <c r="AC15" s="47">
        <f t="shared" si="19"/>
        <v>6.9032</v>
      </c>
      <c r="AD15" s="47"/>
      <c r="AE15" s="47"/>
      <c r="AF15" s="47">
        <f t="shared" si="20"/>
        <v>34.637999999999998</v>
      </c>
      <c r="AG15" s="47">
        <v>28865</v>
      </c>
      <c r="AH15" s="47"/>
      <c r="AI15" s="47">
        <f t="shared" si="21"/>
        <v>2.59</v>
      </c>
      <c r="AJ15" s="53">
        <f t="shared" si="22"/>
        <v>27.318000000000001</v>
      </c>
      <c r="AK15" s="53">
        <f t="shared" si="23"/>
        <v>273180</v>
      </c>
      <c r="AL15" s="47"/>
      <c r="AM15" s="47">
        <f t="shared" si="3"/>
        <v>11.0267</v>
      </c>
      <c r="AN15" s="47">
        <f t="shared" si="4"/>
        <v>10.380699999999999</v>
      </c>
      <c r="AO15" s="47">
        <f t="shared" si="24"/>
        <v>103806.99999999999</v>
      </c>
      <c r="AP15" s="47">
        <f t="shared" si="5"/>
        <v>0.64600000000000002</v>
      </c>
      <c r="AQ15" s="47">
        <f t="shared" si="25"/>
        <v>6460</v>
      </c>
      <c r="AR15" s="47"/>
      <c r="AS15" s="47">
        <f t="shared" si="26"/>
        <v>0.81620000000000004</v>
      </c>
      <c r="AT15" s="47">
        <f t="shared" si="6"/>
        <v>0.7752</v>
      </c>
      <c r="AU15" s="47">
        <f t="shared" si="27"/>
        <v>7752</v>
      </c>
      <c r="AV15" s="47">
        <f t="shared" si="7"/>
        <v>4.1000000000000002E-2</v>
      </c>
      <c r="AW15" s="47">
        <f t="shared" si="28"/>
        <v>410</v>
      </c>
      <c r="AX15" s="47">
        <f t="shared" si="8"/>
        <v>20.488499999999998</v>
      </c>
      <c r="AY15" s="47"/>
      <c r="AZ15" s="47"/>
      <c r="BA15" s="54">
        <v>1E-4</v>
      </c>
      <c r="BB15" s="55" t="s">
        <v>138</v>
      </c>
      <c r="BC15" s="51">
        <f t="shared" si="29"/>
        <v>128.34399999999999</v>
      </c>
      <c r="BD15" s="47">
        <f t="shared" si="9"/>
        <v>22.56</v>
      </c>
      <c r="BE15" s="47">
        <f t="shared" si="30"/>
        <v>14.784000000000001</v>
      </c>
      <c r="BF15" s="47">
        <v>12320</v>
      </c>
      <c r="BG15" s="56">
        <v>91</v>
      </c>
      <c r="BH15" s="47"/>
      <c r="BI15" s="51">
        <f t="shared" si="10"/>
        <v>95</v>
      </c>
      <c r="BJ15" s="51">
        <f t="shared" si="11"/>
        <v>0</v>
      </c>
      <c r="BK15" s="47"/>
      <c r="BL15" s="47"/>
      <c r="BM15" s="47"/>
      <c r="BN15" s="47"/>
      <c r="BO15" s="47"/>
      <c r="BP15" s="47"/>
      <c r="BQ15" s="47"/>
      <c r="BR15" s="47"/>
      <c r="BS15" s="53"/>
      <c r="BT15" s="47"/>
      <c r="BU15" s="47"/>
      <c r="BV15" s="47"/>
      <c r="BW15" s="47">
        <v>95</v>
      </c>
      <c r="BX15" s="47"/>
      <c r="BY15" s="47"/>
      <c r="BZ15" s="47"/>
      <c r="CA15" s="47"/>
      <c r="CB15" s="54">
        <f t="shared" si="12"/>
        <v>453.73059999999998</v>
      </c>
    </row>
    <row r="16" spans="1:80" ht="14.25" customHeight="1">
      <c r="A16" s="47">
        <v>9</v>
      </c>
      <c r="B16" s="47" t="s">
        <v>129</v>
      </c>
      <c r="C16" s="48">
        <v>108001</v>
      </c>
      <c r="D16" s="49" t="s">
        <v>139</v>
      </c>
      <c r="E16" s="49" t="s">
        <v>131</v>
      </c>
      <c r="F16" s="50">
        <f t="shared" si="13"/>
        <v>11</v>
      </c>
      <c r="G16" s="50">
        <v>9</v>
      </c>
      <c r="H16" s="50"/>
      <c r="I16" s="50">
        <v>2</v>
      </c>
      <c r="J16" s="50"/>
      <c r="K16" s="50"/>
      <c r="L16" s="50"/>
      <c r="M16" s="50"/>
      <c r="N16" s="50">
        <v>6</v>
      </c>
      <c r="O16" s="50">
        <f t="shared" si="14"/>
        <v>17</v>
      </c>
      <c r="P16" s="51">
        <f t="shared" si="0"/>
        <v>242.77670000000001</v>
      </c>
      <c r="Q16" s="51">
        <f t="shared" si="1"/>
        <v>135.36270000000002</v>
      </c>
      <c r="R16" s="47">
        <f t="shared" si="15"/>
        <v>42526</v>
      </c>
      <c r="S16" s="52">
        <v>37484</v>
      </c>
      <c r="T16" s="47">
        <v>5042</v>
      </c>
      <c r="U16" s="47">
        <f t="shared" si="16"/>
        <v>51.031199999999998</v>
      </c>
      <c r="V16" s="51">
        <f t="shared" si="2"/>
        <v>20.25</v>
      </c>
      <c r="W16" s="47">
        <f t="shared" si="17"/>
        <v>20.25</v>
      </c>
      <c r="X16" s="47"/>
      <c r="Y16" s="47"/>
      <c r="Z16" s="47"/>
      <c r="AA16" s="47"/>
      <c r="AB16" s="51">
        <f t="shared" si="18"/>
        <v>23.758400000000002</v>
      </c>
      <c r="AC16" s="47">
        <f t="shared" si="19"/>
        <v>3.7484000000000002</v>
      </c>
      <c r="AD16" s="47"/>
      <c r="AE16" s="47"/>
      <c r="AF16" s="47">
        <f t="shared" si="20"/>
        <v>20.010000000000002</v>
      </c>
      <c r="AG16" s="47">
        <v>16675</v>
      </c>
      <c r="AH16" s="47"/>
      <c r="AI16" s="47">
        <f t="shared" si="21"/>
        <v>5.18</v>
      </c>
      <c r="AJ16" s="53">
        <f t="shared" si="22"/>
        <v>16.0351</v>
      </c>
      <c r="AK16" s="53">
        <f t="shared" si="23"/>
        <v>160351</v>
      </c>
      <c r="AL16" s="47"/>
      <c r="AM16" s="47">
        <f t="shared" si="3"/>
        <v>6.5442</v>
      </c>
      <c r="AN16" s="47">
        <f t="shared" si="4"/>
        <v>6.1619000000000002</v>
      </c>
      <c r="AO16" s="47">
        <f t="shared" si="24"/>
        <v>61619</v>
      </c>
      <c r="AP16" s="47">
        <f t="shared" si="5"/>
        <v>0.38229999999999997</v>
      </c>
      <c r="AQ16" s="47">
        <f t="shared" si="25"/>
        <v>3822.9999999999995</v>
      </c>
      <c r="AR16" s="47"/>
      <c r="AS16" s="47">
        <f t="shared" si="26"/>
        <v>0.53739999999999999</v>
      </c>
      <c r="AT16" s="47">
        <f t="shared" si="6"/>
        <v>0.45879999999999999</v>
      </c>
      <c r="AU16" s="47">
        <f t="shared" si="27"/>
        <v>4588</v>
      </c>
      <c r="AV16" s="47">
        <f t="shared" si="7"/>
        <v>7.8600000000000003E-2</v>
      </c>
      <c r="AW16" s="47">
        <f t="shared" si="28"/>
        <v>786</v>
      </c>
      <c r="AX16" s="47">
        <f t="shared" si="8"/>
        <v>12.026400000000001</v>
      </c>
      <c r="AY16" s="47"/>
      <c r="AZ16" s="47"/>
      <c r="BA16" s="54">
        <v>1E-4</v>
      </c>
      <c r="BB16" s="55" t="s">
        <v>139</v>
      </c>
      <c r="BC16" s="51">
        <f t="shared" si="29"/>
        <v>106.904</v>
      </c>
      <c r="BD16" s="47">
        <f t="shared" si="9"/>
        <v>12.719999999999999</v>
      </c>
      <c r="BE16" s="47">
        <f t="shared" si="30"/>
        <v>8.1839999999999993</v>
      </c>
      <c r="BF16" s="47">
        <v>6820</v>
      </c>
      <c r="BG16" s="56">
        <v>86</v>
      </c>
      <c r="BH16" s="47"/>
      <c r="BI16" s="51">
        <f t="shared" si="10"/>
        <v>0.51</v>
      </c>
      <c r="BJ16" s="51">
        <f t="shared" si="11"/>
        <v>0</v>
      </c>
      <c r="BK16" s="47"/>
      <c r="BL16" s="47"/>
      <c r="BM16" s="47"/>
      <c r="BN16" s="47"/>
      <c r="BO16" s="47"/>
      <c r="BP16" s="47">
        <v>0.51</v>
      </c>
      <c r="BQ16" s="47"/>
      <c r="BR16" s="47"/>
      <c r="BS16" s="53"/>
      <c r="BT16" s="47"/>
      <c r="BU16" s="47"/>
      <c r="BV16" s="47"/>
      <c r="BW16" s="47"/>
      <c r="BX16" s="47"/>
      <c r="BY16" s="47"/>
      <c r="BZ16" s="47"/>
      <c r="CA16" s="47"/>
      <c r="CB16" s="54">
        <f t="shared" si="12"/>
        <v>242.77670000000001</v>
      </c>
    </row>
    <row r="17" spans="1:80" ht="14.25" customHeight="1">
      <c r="A17" s="47">
        <v>10</v>
      </c>
      <c r="B17" s="47" t="s">
        <v>129</v>
      </c>
      <c r="C17" s="48">
        <v>121001</v>
      </c>
      <c r="D17" s="49" t="s">
        <v>140</v>
      </c>
      <c r="E17" s="49" t="s">
        <v>141</v>
      </c>
      <c r="F17" s="50">
        <f t="shared" si="13"/>
        <v>20</v>
      </c>
      <c r="G17" s="50">
        <v>12</v>
      </c>
      <c r="H17" s="50">
        <v>1</v>
      </c>
      <c r="I17" s="50">
        <v>7</v>
      </c>
      <c r="J17" s="50"/>
      <c r="K17" s="50"/>
      <c r="L17" s="50"/>
      <c r="M17" s="50"/>
      <c r="N17" s="50">
        <v>10</v>
      </c>
      <c r="O17" s="50">
        <f t="shared" si="14"/>
        <v>30</v>
      </c>
      <c r="P17" s="51">
        <f t="shared" si="0"/>
        <v>373.75999999999993</v>
      </c>
      <c r="Q17" s="51">
        <f t="shared" si="1"/>
        <v>252.21199999999999</v>
      </c>
      <c r="R17" s="47">
        <f t="shared" si="15"/>
        <v>84179</v>
      </c>
      <c r="S17" s="52">
        <v>48055</v>
      </c>
      <c r="T17" s="47">
        <v>36124</v>
      </c>
      <c r="U17" s="47">
        <f t="shared" si="16"/>
        <v>101.01479999999999</v>
      </c>
      <c r="V17" s="51">
        <f t="shared" si="2"/>
        <v>29.25</v>
      </c>
      <c r="W17" s="47">
        <f t="shared" si="17"/>
        <v>29.25</v>
      </c>
      <c r="X17" s="47"/>
      <c r="Y17" s="47"/>
      <c r="Z17" s="47"/>
      <c r="AA17" s="47"/>
      <c r="AB17" s="51">
        <f t="shared" si="18"/>
        <v>37.701100000000004</v>
      </c>
      <c r="AC17" s="47">
        <f t="shared" si="19"/>
        <v>4.8055000000000003</v>
      </c>
      <c r="AD17" s="47"/>
      <c r="AE17" s="47"/>
      <c r="AF17" s="47">
        <f t="shared" si="20"/>
        <v>32.895600000000002</v>
      </c>
      <c r="AG17" s="47">
        <v>27413</v>
      </c>
      <c r="AH17" s="47"/>
      <c r="AI17" s="47">
        <f t="shared" si="21"/>
        <v>18.13</v>
      </c>
      <c r="AJ17" s="53">
        <f t="shared" si="22"/>
        <v>29.775300000000001</v>
      </c>
      <c r="AK17" s="53">
        <f t="shared" si="23"/>
        <v>297753</v>
      </c>
      <c r="AL17" s="47"/>
      <c r="AM17" s="47">
        <f t="shared" si="3"/>
        <v>12.688599999999999</v>
      </c>
      <c r="AN17" s="47">
        <f t="shared" si="4"/>
        <v>11.9466</v>
      </c>
      <c r="AO17" s="47">
        <f t="shared" si="24"/>
        <v>119466</v>
      </c>
      <c r="AP17" s="47">
        <f t="shared" si="5"/>
        <v>0.74199999999999999</v>
      </c>
      <c r="AQ17" s="47">
        <f t="shared" si="25"/>
        <v>7420</v>
      </c>
      <c r="AR17" s="47"/>
      <c r="AS17" s="47">
        <f t="shared" si="26"/>
        <v>1.3207</v>
      </c>
      <c r="AT17" s="47">
        <f t="shared" si="6"/>
        <v>0.89039999999999997</v>
      </c>
      <c r="AU17" s="47">
        <f t="shared" si="27"/>
        <v>8904</v>
      </c>
      <c r="AV17" s="47">
        <f t="shared" si="7"/>
        <v>0.4304</v>
      </c>
      <c r="AW17" s="47">
        <f t="shared" si="28"/>
        <v>4304</v>
      </c>
      <c r="AX17" s="47">
        <f t="shared" si="8"/>
        <v>22.331499999999998</v>
      </c>
      <c r="AY17" s="47"/>
      <c r="AZ17" s="47"/>
      <c r="BA17" s="54">
        <v>1E-4</v>
      </c>
      <c r="BB17" s="55" t="s">
        <v>140</v>
      </c>
      <c r="BC17" s="51">
        <f t="shared" si="29"/>
        <v>119.06399999999999</v>
      </c>
      <c r="BD17" s="47">
        <f t="shared" si="9"/>
        <v>22.32</v>
      </c>
      <c r="BE17" s="47">
        <f t="shared" si="30"/>
        <v>15.744</v>
      </c>
      <c r="BF17" s="47">
        <v>13120</v>
      </c>
      <c r="BG17" s="56">
        <v>81</v>
      </c>
      <c r="BH17" s="47"/>
      <c r="BI17" s="51">
        <f t="shared" si="10"/>
        <v>2.484</v>
      </c>
      <c r="BJ17" s="51">
        <f t="shared" si="11"/>
        <v>0</v>
      </c>
      <c r="BK17" s="47"/>
      <c r="BL17" s="47"/>
      <c r="BM17" s="47"/>
      <c r="BN17" s="47"/>
      <c r="BO17" s="47"/>
      <c r="BP17" s="47">
        <v>2.484</v>
      </c>
      <c r="BQ17" s="47"/>
      <c r="BR17" s="47"/>
      <c r="BS17" s="53"/>
      <c r="BT17" s="47"/>
      <c r="BU17" s="47"/>
      <c r="BV17" s="47"/>
      <c r="BW17" s="47"/>
      <c r="BX17" s="47"/>
      <c r="BY17" s="47"/>
      <c r="BZ17" s="47"/>
      <c r="CA17" s="47"/>
      <c r="CB17" s="54">
        <f t="shared" si="12"/>
        <v>373.75999999999993</v>
      </c>
    </row>
    <row r="18" spans="1:80" ht="14.25" customHeight="1">
      <c r="A18" s="47">
        <v>11</v>
      </c>
      <c r="B18" s="47" t="s">
        <v>129</v>
      </c>
      <c r="C18" s="48">
        <v>117001</v>
      </c>
      <c r="D18" s="49" t="s">
        <v>142</v>
      </c>
      <c r="E18" s="49" t="s">
        <v>143</v>
      </c>
      <c r="F18" s="50">
        <f t="shared" si="13"/>
        <v>7</v>
      </c>
      <c r="G18" s="50">
        <v>4</v>
      </c>
      <c r="H18" s="50"/>
      <c r="I18" s="50">
        <v>2</v>
      </c>
      <c r="J18" s="50">
        <v>1</v>
      </c>
      <c r="K18" s="50"/>
      <c r="L18" s="50"/>
      <c r="M18" s="50"/>
      <c r="N18" s="50">
        <v>4</v>
      </c>
      <c r="O18" s="50">
        <f t="shared" si="14"/>
        <v>11</v>
      </c>
      <c r="P18" s="51">
        <f t="shared" si="0"/>
        <v>158.5718</v>
      </c>
      <c r="Q18" s="51">
        <f t="shared" si="1"/>
        <v>79.423799999999986</v>
      </c>
      <c r="R18" s="47">
        <f t="shared" si="15"/>
        <v>23720</v>
      </c>
      <c r="S18" s="52">
        <v>15522</v>
      </c>
      <c r="T18" s="47">
        <v>8198</v>
      </c>
      <c r="U18" s="47">
        <f t="shared" si="16"/>
        <v>28.463999999999999</v>
      </c>
      <c r="V18" s="51">
        <f t="shared" si="2"/>
        <v>9</v>
      </c>
      <c r="W18" s="47">
        <f t="shared" si="17"/>
        <v>9</v>
      </c>
      <c r="X18" s="47"/>
      <c r="Y18" s="47"/>
      <c r="Z18" s="47"/>
      <c r="AA18" s="47"/>
      <c r="AB18" s="51">
        <f t="shared" si="18"/>
        <v>13.4802</v>
      </c>
      <c r="AC18" s="47">
        <f t="shared" si="19"/>
        <v>1.5522</v>
      </c>
      <c r="AD18" s="47"/>
      <c r="AE18" s="47"/>
      <c r="AF18" s="47">
        <f t="shared" si="20"/>
        <v>11.928000000000001</v>
      </c>
      <c r="AG18" s="47">
        <v>9940</v>
      </c>
      <c r="AH18" s="47"/>
      <c r="AI18" s="47">
        <f t="shared" si="21"/>
        <v>7.77</v>
      </c>
      <c r="AJ18" s="53">
        <f t="shared" si="22"/>
        <v>9.3942999999999994</v>
      </c>
      <c r="AK18" s="53">
        <f t="shared" si="23"/>
        <v>93943</v>
      </c>
      <c r="AL18" s="47"/>
      <c r="AM18" s="47">
        <f t="shared" si="3"/>
        <v>3.8748999999999998</v>
      </c>
      <c r="AN18" s="47">
        <f t="shared" si="4"/>
        <v>3.6486999999999998</v>
      </c>
      <c r="AO18" s="47">
        <f t="shared" si="24"/>
        <v>36487</v>
      </c>
      <c r="AP18" s="47">
        <f t="shared" si="5"/>
        <v>0.22620000000000001</v>
      </c>
      <c r="AQ18" s="47">
        <f t="shared" si="25"/>
        <v>2262</v>
      </c>
      <c r="AR18" s="47"/>
      <c r="AS18" s="47">
        <f t="shared" si="26"/>
        <v>0.3947</v>
      </c>
      <c r="AT18" s="47">
        <f t="shared" si="6"/>
        <v>0.27139999999999997</v>
      </c>
      <c r="AU18" s="47">
        <f t="shared" si="27"/>
        <v>2713.9999999999995</v>
      </c>
      <c r="AV18" s="47">
        <f t="shared" si="7"/>
        <v>0.12330000000000001</v>
      </c>
      <c r="AW18" s="47">
        <f t="shared" si="28"/>
        <v>1233</v>
      </c>
      <c r="AX18" s="47">
        <f t="shared" si="8"/>
        <v>7.0457000000000001</v>
      </c>
      <c r="AY18" s="47"/>
      <c r="AZ18" s="47"/>
      <c r="BA18" s="54">
        <v>1E-4</v>
      </c>
      <c r="BB18" s="55" t="s">
        <v>142</v>
      </c>
      <c r="BC18" s="51">
        <f t="shared" si="29"/>
        <v>77.147999999999996</v>
      </c>
      <c r="BD18" s="47">
        <f t="shared" si="9"/>
        <v>7.68</v>
      </c>
      <c r="BE18" s="47">
        <f t="shared" si="30"/>
        <v>3.468</v>
      </c>
      <c r="BF18" s="47">
        <v>2890</v>
      </c>
      <c r="BG18" s="56">
        <v>66</v>
      </c>
      <c r="BH18" s="47"/>
      <c r="BI18" s="51">
        <f t="shared" si="10"/>
        <v>2</v>
      </c>
      <c r="BJ18" s="51">
        <f t="shared" si="11"/>
        <v>0</v>
      </c>
      <c r="BK18" s="47"/>
      <c r="BL18" s="47"/>
      <c r="BM18" s="47"/>
      <c r="BN18" s="47"/>
      <c r="BO18" s="47"/>
      <c r="BP18" s="47"/>
      <c r="BQ18" s="47"/>
      <c r="BR18" s="47"/>
      <c r="BS18" s="53"/>
      <c r="BT18" s="47"/>
      <c r="BU18" s="47"/>
      <c r="BV18" s="47"/>
      <c r="BW18" s="47">
        <v>2</v>
      </c>
      <c r="BX18" s="47"/>
      <c r="BY18" s="47"/>
      <c r="BZ18" s="47"/>
      <c r="CA18" s="47"/>
      <c r="CB18" s="54">
        <f t="shared" si="12"/>
        <v>158.5718</v>
      </c>
    </row>
    <row r="19" spans="1:80" ht="14.25" customHeight="1">
      <c r="A19" s="47">
        <v>12</v>
      </c>
      <c r="B19" s="47" t="s">
        <v>129</v>
      </c>
      <c r="C19" s="48">
        <v>116001</v>
      </c>
      <c r="D19" s="49" t="s">
        <v>144</v>
      </c>
      <c r="E19" s="49" t="s">
        <v>143</v>
      </c>
      <c r="F19" s="50">
        <f t="shared" si="13"/>
        <v>3</v>
      </c>
      <c r="G19" s="50">
        <v>3</v>
      </c>
      <c r="H19" s="50"/>
      <c r="I19" s="50"/>
      <c r="J19" s="50"/>
      <c r="K19" s="50"/>
      <c r="L19" s="50"/>
      <c r="M19" s="50"/>
      <c r="N19" s="50"/>
      <c r="O19" s="50">
        <f t="shared" si="14"/>
        <v>3</v>
      </c>
      <c r="P19" s="51">
        <f t="shared" si="0"/>
        <v>75.283900000000003</v>
      </c>
      <c r="Q19" s="51">
        <f t="shared" si="1"/>
        <v>38.4039</v>
      </c>
      <c r="R19" s="47">
        <f t="shared" si="15"/>
        <v>12392</v>
      </c>
      <c r="S19" s="52">
        <v>12392</v>
      </c>
      <c r="T19" s="47">
        <v>0</v>
      </c>
      <c r="U19" s="47">
        <f t="shared" si="16"/>
        <v>14.8704</v>
      </c>
      <c r="V19" s="51">
        <f t="shared" si="2"/>
        <v>6.75</v>
      </c>
      <c r="W19" s="47">
        <f t="shared" si="17"/>
        <v>6.75</v>
      </c>
      <c r="X19" s="47"/>
      <c r="Y19" s="47"/>
      <c r="Z19" s="47"/>
      <c r="AA19" s="47"/>
      <c r="AB19" s="51">
        <f t="shared" si="18"/>
        <v>6.8456000000000001</v>
      </c>
      <c r="AC19" s="47">
        <f t="shared" si="19"/>
        <v>1.2392000000000001</v>
      </c>
      <c r="AD19" s="47"/>
      <c r="AE19" s="47"/>
      <c r="AF19" s="47">
        <f t="shared" si="20"/>
        <v>5.6063999999999998</v>
      </c>
      <c r="AG19" s="47">
        <v>4672</v>
      </c>
      <c r="AH19" s="47"/>
      <c r="AI19" s="47">
        <f t="shared" si="21"/>
        <v>0</v>
      </c>
      <c r="AJ19" s="53">
        <f t="shared" si="22"/>
        <v>4.5545999999999998</v>
      </c>
      <c r="AK19" s="53">
        <f t="shared" si="23"/>
        <v>45546</v>
      </c>
      <c r="AL19" s="47"/>
      <c r="AM19" s="47">
        <f t="shared" si="3"/>
        <v>1.8376999999999999</v>
      </c>
      <c r="AN19" s="47">
        <f t="shared" si="4"/>
        <v>1.7296</v>
      </c>
      <c r="AO19" s="47">
        <f t="shared" si="24"/>
        <v>17296</v>
      </c>
      <c r="AP19" s="47">
        <f t="shared" si="5"/>
        <v>0.1081</v>
      </c>
      <c r="AQ19" s="47">
        <f t="shared" si="25"/>
        <v>1081</v>
      </c>
      <c r="AR19" s="47"/>
      <c r="AS19" s="47">
        <f t="shared" si="26"/>
        <v>0.12970000000000001</v>
      </c>
      <c r="AT19" s="47">
        <f t="shared" si="6"/>
        <v>0.12970000000000001</v>
      </c>
      <c r="AU19" s="47">
        <f t="shared" si="27"/>
        <v>1297</v>
      </c>
      <c r="AV19" s="47">
        <f t="shared" si="7"/>
        <v>0</v>
      </c>
      <c r="AW19" s="47">
        <f t="shared" si="28"/>
        <v>0</v>
      </c>
      <c r="AX19" s="47">
        <f t="shared" si="8"/>
        <v>3.4159000000000002</v>
      </c>
      <c r="AY19" s="47"/>
      <c r="AZ19" s="47"/>
      <c r="BA19" s="54">
        <v>1E-4</v>
      </c>
      <c r="BB19" s="55" t="s">
        <v>144</v>
      </c>
      <c r="BC19" s="51">
        <f t="shared" si="29"/>
        <v>31.88</v>
      </c>
      <c r="BD19" s="47">
        <f t="shared" si="9"/>
        <v>3.5999999999999996</v>
      </c>
      <c r="BE19" s="47">
        <f t="shared" si="30"/>
        <v>2.2799999999999998</v>
      </c>
      <c r="BF19" s="47">
        <v>1900</v>
      </c>
      <c r="BG19" s="56">
        <v>26</v>
      </c>
      <c r="BH19" s="47"/>
      <c r="BI19" s="51">
        <f t="shared" si="10"/>
        <v>5</v>
      </c>
      <c r="BJ19" s="51">
        <f t="shared" si="11"/>
        <v>0</v>
      </c>
      <c r="BK19" s="47"/>
      <c r="BL19" s="47"/>
      <c r="BM19" s="47"/>
      <c r="BN19" s="47"/>
      <c r="BO19" s="47"/>
      <c r="BP19" s="47"/>
      <c r="BQ19" s="47"/>
      <c r="BR19" s="47"/>
      <c r="BS19" s="53"/>
      <c r="BT19" s="47"/>
      <c r="BU19" s="47"/>
      <c r="BV19" s="47"/>
      <c r="BW19" s="47">
        <v>5</v>
      </c>
      <c r="BX19" s="47"/>
      <c r="BY19" s="47"/>
      <c r="BZ19" s="47"/>
      <c r="CA19" s="47"/>
      <c r="CB19" s="54">
        <f t="shared" si="12"/>
        <v>75.283900000000003</v>
      </c>
    </row>
    <row r="20" spans="1:80" ht="14.25" customHeight="1">
      <c r="A20" s="47">
        <v>13</v>
      </c>
      <c r="B20" s="47" t="s">
        <v>129</v>
      </c>
      <c r="C20" s="48">
        <v>115001</v>
      </c>
      <c r="D20" s="49" t="s">
        <v>145</v>
      </c>
      <c r="E20" s="49" t="s">
        <v>131</v>
      </c>
      <c r="F20" s="50">
        <f t="shared" si="13"/>
        <v>10</v>
      </c>
      <c r="G20" s="50">
        <v>6</v>
      </c>
      <c r="H20" s="50">
        <v>1</v>
      </c>
      <c r="I20" s="50">
        <v>3</v>
      </c>
      <c r="J20" s="50"/>
      <c r="K20" s="50"/>
      <c r="L20" s="50"/>
      <c r="M20" s="50"/>
      <c r="N20" s="50">
        <v>4</v>
      </c>
      <c r="O20" s="50">
        <f t="shared" si="14"/>
        <v>14</v>
      </c>
      <c r="P20" s="51">
        <f t="shared" si="0"/>
        <v>207.03219999999999</v>
      </c>
      <c r="Q20" s="51">
        <f t="shared" si="1"/>
        <v>113.79220000000001</v>
      </c>
      <c r="R20" s="47">
        <f t="shared" si="15"/>
        <v>34544</v>
      </c>
      <c r="S20" s="52">
        <v>26023</v>
      </c>
      <c r="T20" s="47">
        <v>8521</v>
      </c>
      <c r="U20" s="47">
        <f t="shared" si="16"/>
        <v>41.452800000000003</v>
      </c>
      <c r="V20" s="51">
        <f t="shared" si="2"/>
        <v>15.75</v>
      </c>
      <c r="W20" s="47">
        <f t="shared" si="17"/>
        <v>15.75</v>
      </c>
      <c r="X20" s="47"/>
      <c r="Y20" s="47"/>
      <c r="Z20" s="47"/>
      <c r="AA20" s="47"/>
      <c r="AB20" s="51">
        <f t="shared" si="18"/>
        <v>19.186299999999999</v>
      </c>
      <c r="AC20" s="47">
        <f t="shared" si="19"/>
        <v>2.6023000000000001</v>
      </c>
      <c r="AD20" s="47"/>
      <c r="AE20" s="47"/>
      <c r="AF20" s="47">
        <f t="shared" si="20"/>
        <v>16.584</v>
      </c>
      <c r="AG20" s="47">
        <v>13820</v>
      </c>
      <c r="AH20" s="47"/>
      <c r="AI20" s="47">
        <f t="shared" si="21"/>
        <v>7.77</v>
      </c>
      <c r="AJ20" s="53">
        <f t="shared" si="22"/>
        <v>13.4655</v>
      </c>
      <c r="AK20" s="53">
        <f t="shared" si="23"/>
        <v>134655</v>
      </c>
      <c r="AL20" s="47"/>
      <c r="AM20" s="47">
        <f t="shared" si="3"/>
        <v>5.5526999999999997</v>
      </c>
      <c r="AN20" s="47">
        <f t="shared" si="4"/>
        <v>5.2278000000000002</v>
      </c>
      <c r="AO20" s="47">
        <f t="shared" si="24"/>
        <v>52278</v>
      </c>
      <c r="AP20" s="47">
        <f t="shared" si="5"/>
        <v>0.32490000000000002</v>
      </c>
      <c r="AQ20" s="47">
        <f t="shared" si="25"/>
        <v>3249</v>
      </c>
      <c r="AR20" s="47"/>
      <c r="AS20" s="47">
        <f t="shared" si="26"/>
        <v>0.51580000000000004</v>
      </c>
      <c r="AT20" s="47">
        <f t="shared" si="6"/>
        <v>0.38979999999999998</v>
      </c>
      <c r="AU20" s="47">
        <f t="shared" si="27"/>
        <v>3898</v>
      </c>
      <c r="AV20" s="47">
        <f t="shared" si="7"/>
        <v>0.126</v>
      </c>
      <c r="AW20" s="47">
        <f t="shared" si="28"/>
        <v>1260</v>
      </c>
      <c r="AX20" s="47">
        <f t="shared" si="8"/>
        <v>10.0991</v>
      </c>
      <c r="AY20" s="47"/>
      <c r="AZ20" s="47"/>
      <c r="BA20" s="54">
        <v>1E-4</v>
      </c>
      <c r="BB20" s="55" t="s">
        <v>145</v>
      </c>
      <c r="BC20" s="51">
        <f t="shared" si="29"/>
        <v>91.32</v>
      </c>
      <c r="BD20" s="47">
        <f t="shared" si="9"/>
        <v>11.280000000000001</v>
      </c>
      <c r="BE20" s="47">
        <f t="shared" si="30"/>
        <v>5.04</v>
      </c>
      <c r="BF20" s="47">
        <v>4200</v>
      </c>
      <c r="BG20" s="56">
        <v>75</v>
      </c>
      <c r="BH20" s="47"/>
      <c r="BI20" s="51">
        <f t="shared" si="10"/>
        <v>1.92</v>
      </c>
      <c r="BJ20" s="51">
        <f t="shared" si="11"/>
        <v>0</v>
      </c>
      <c r="BK20" s="47"/>
      <c r="BL20" s="47"/>
      <c r="BM20" s="47"/>
      <c r="BN20" s="47"/>
      <c r="BO20" s="47"/>
      <c r="BP20" s="47">
        <v>1.92</v>
      </c>
      <c r="BQ20" s="47"/>
      <c r="BR20" s="47"/>
      <c r="BS20" s="53"/>
      <c r="BT20" s="47"/>
      <c r="BU20" s="47"/>
      <c r="BV20" s="47"/>
      <c r="BW20" s="47"/>
      <c r="BX20" s="47"/>
      <c r="BY20" s="47"/>
      <c r="BZ20" s="47"/>
      <c r="CA20" s="47"/>
      <c r="CB20" s="54">
        <f t="shared" si="12"/>
        <v>207.03219999999999</v>
      </c>
    </row>
    <row r="21" spans="1:80" ht="14.25" customHeight="1">
      <c r="A21" s="47">
        <v>14</v>
      </c>
      <c r="B21" s="47" t="s">
        <v>129</v>
      </c>
      <c r="C21" s="48">
        <v>120001</v>
      </c>
      <c r="D21" s="49" t="s">
        <v>146</v>
      </c>
      <c r="E21" s="49" t="s">
        <v>143</v>
      </c>
      <c r="F21" s="50">
        <f t="shared" si="13"/>
        <v>3</v>
      </c>
      <c r="G21" s="50">
        <v>3</v>
      </c>
      <c r="H21" s="50"/>
      <c r="I21" s="50"/>
      <c r="J21" s="50"/>
      <c r="K21" s="50"/>
      <c r="L21" s="50"/>
      <c r="M21" s="50"/>
      <c r="N21" s="50">
        <v>1</v>
      </c>
      <c r="O21" s="50">
        <f t="shared" si="14"/>
        <v>4</v>
      </c>
      <c r="P21" s="51">
        <f t="shared" si="0"/>
        <v>80.198999999999998</v>
      </c>
      <c r="Q21" s="51">
        <f t="shared" si="1"/>
        <v>36.319000000000003</v>
      </c>
      <c r="R21" s="47">
        <f t="shared" si="15"/>
        <v>11212</v>
      </c>
      <c r="S21" s="52">
        <v>11212</v>
      </c>
      <c r="T21" s="47"/>
      <c r="U21" s="47">
        <f t="shared" si="16"/>
        <v>13.4544</v>
      </c>
      <c r="V21" s="51">
        <f t="shared" si="2"/>
        <v>6.75</v>
      </c>
      <c r="W21" s="47">
        <f t="shared" si="17"/>
        <v>6.75</v>
      </c>
      <c r="X21" s="47"/>
      <c r="Y21" s="47"/>
      <c r="Z21" s="47"/>
      <c r="AA21" s="47"/>
      <c r="AB21" s="51">
        <f t="shared" si="18"/>
        <v>6.7275999999999998</v>
      </c>
      <c r="AC21" s="47">
        <f t="shared" si="19"/>
        <v>1.1212</v>
      </c>
      <c r="AD21" s="47"/>
      <c r="AE21" s="47"/>
      <c r="AF21" s="47">
        <f t="shared" si="20"/>
        <v>5.6063999999999998</v>
      </c>
      <c r="AG21" s="47">
        <v>4672</v>
      </c>
      <c r="AH21" s="47"/>
      <c r="AI21" s="47">
        <f t="shared" si="21"/>
        <v>0</v>
      </c>
      <c r="AJ21" s="53">
        <f t="shared" si="22"/>
        <v>4.3090999999999999</v>
      </c>
      <c r="AK21" s="53">
        <f t="shared" si="23"/>
        <v>43091</v>
      </c>
      <c r="AL21" s="47"/>
      <c r="AM21" s="47">
        <f t="shared" si="3"/>
        <v>1.7249000000000001</v>
      </c>
      <c r="AN21" s="47">
        <f t="shared" si="4"/>
        <v>1.6238999999999999</v>
      </c>
      <c r="AO21" s="47">
        <f t="shared" si="24"/>
        <v>16238.999999999998</v>
      </c>
      <c r="AP21" s="47">
        <f t="shared" si="5"/>
        <v>0.10100000000000001</v>
      </c>
      <c r="AQ21" s="47">
        <f t="shared" si="25"/>
        <v>1010.0000000000001</v>
      </c>
      <c r="AR21" s="47"/>
      <c r="AS21" s="47">
        <f t="shared" si="26"/>
        <v>0.1212</v>
      </c>
      <c r="AT21" s="47">
        <f t="shared" si="6"/>
        <v>0.1212</v>
      </c>
      <c r="AU21" s="47">
        <f t="shared" si="27"/>
        <v>1212</v>
      </c>
      <c r="AV21" s="47">
        <f t="shared" si="7"/>
        <v>0</v>
      </c>
      <c r="AW21" s="47">
        <f t="shared" si="28"/>
        <v>0</v>
      </c>
      <c r="AX21" s="47">
        <f t="shared" si="8"/>
        <v>3.2317999999999998</v>
      </c>
      <c r="AY21" s="47"/>
      <c r="AZ21" s="47"/>
      <c r="BA21" s="54">
        <v>1E-4</v>
      </c>
      <c r="BB21" s="55" t="s">
        <v>146</v>
      </c>
      <c r="BC21" s="51">
        <f t="shared" si="29"/>
        <v>43.879999999999995</v>
      </c>
      <c r="BD21" s="47">
        <f t="shared" si="9"/>
        <v>3.5999999999999996</v>
      </c>
      <c r="BE21" s="47">
        <f t="shared" si="30"/>
        <v>2.2799999999999998</v>
      </c>
      <c r="BF21" s="47">
        <v>1900</v>
      </c>
      <c r="BG21" s="56">
        <f>23+15</f>
        <v>38</v>
      </c>
      <c r="BH21" s="47"/>
      <c r="BI21" s="51">
        <f t="shared" si="10"/>
        <v>0</v>
      </c>
      <c r="BJ21" s="51">
        <f t="shared" si="11"/>
        <v>0</v>
      </c>
      <c r="BK21" s="47"/>
      <c r="BL21" s="47"/>
      <c r="BM21" s="47"/>
      <c r="BN21" s="47"/>
      <c r="BO21" s="47"/>
      <c r="BP21" s="47"/>
      <c r="BQ21" s="47"/>
      <c r="BR21" s="47"/>
      <c r="BS21" s="53"/>
      <c r="BT21" s="47"/>
      <c r="BU21" s="47"/>
      <c r="BV21" s="47"/>
      <c r="BW21" s="47"/>
      <c r="BX21" s="47"/>
      <c r="BY21" s="47"/>
      <c r="BZ21" s="47"/>
      <c r="CA21" s="47"/>
      <c r="CB21" s="54">
        <f t="shared" si="12"/>
        <v>80.198999999999998</v>
      </c>
    </row>
    <row r="22" spans="1:80" ht="14.25" customHeight="1">
      <c r="A22" s="47">
        <v>15</v>
      </c>
      <c r="B22" s="47" t="s">
        <v>129</v>
      </c>
      <c r="C22" s="48">
        <v>119001</v>
      </c>
      <c r="D22" s="49" t="s">
        <v>147</v>
      </c>
      <c r="E22" s="49" t="s">
        <v>143</v>
      </c>
      <c r="F22" s="50">
        <f t="shared" si="13"/>
        <v>4</v>
      </c>
      <c r="G22" s="50">
        <v>4</v>
      </c>
      <c r="H22" s="50"/>
      <c r="I22" s="50"/>
      <c r="J22" s="50"/>
      <c r="K22" s="50"/>
      <c r="L22" s="50"/>
      <c r="M22" s="50"/>
      <c r="N22" s="50"/>
      <c r="O22" s="50">
        <f t="shared" si="14"/>
        <v>4</v>
      </c>
      <c r="P22" s="51">
        <f t="shared" si="0"/>
        <v>64.834000000000003</v>
      </c>
      <c r="Q22" s="51">
        <f t="shared" si="1"/>
        <v>39.934000000000005</v>
      </c>
      <c r="R22" s="47">
        <f t="shared" si="15"/>
        <v>10772</v>
      </c>
      <c r="S22" s="52">
        <v>10772</v>
      </c>
      <c r="T22" s="47">
        <v>0</v>
      </c>
      <c r="U22" s="47">
        <f t="shared" si="16"/>
        <v>12.926399999999999</v>
      </c>
      <c r="V22" s="51">
        <f t="shared" si="2"/>
        <v>9</v>
      </c>
      <c r="W22" s="47">
        <f t="shared" si="17"/>
        <v>9</v>
      </c>
      <c r="X22" s="47"/>
      <c r="Y22" s="47"/>
      <c r="Z22" s="47"/>
      <c r="AA22" s="47"/>
      <c r="AB22" s="51">
        <f t="shared" si="18"/>
        <v>7.7132000000000005</v>
      </c>
      <c r="AC22" s="47">
        <f t="shared" si="19"/>
        <v>1.0771999999999999</v>
      </c>
      <c r="AD22" s="47"/>
      <c r="AE22" s="47"/>
      <c r="AF22" s="47">
        <f t="shared" si="20"/>
        <v>6.6360000000000001</v>
      </c>
      <c r="AG22" s="47">
        <v>5530</v>
      </c>
      <c r="AH22" s="47"/>
      <c r="AI22" s="47">
        <f t="shared" si="21"/>
        <v>0</v>
      </c>
      <c r="AJ22" s="53">
        <f t="shared" si="22"/>
        <v>4.7423000000000002</v>
      </c>
      <c r="AK22" s="53">
        <f t="shared" si="23"/>
        <v>47423</v>
      </c>
      <c r="AL22" s="47"/>
      <c r="AM22" s="47">
        <f t="shared" si="3"/>
        <v>1.8636999999999999</v>
      </c>
      <c r="AN22" s="47">
        <f t="shared" si="4"/>
        <v>1.7541</v>
      </c>
      <c r="AO22" s="47">
        <f t="shared" si="24"/>
        <v>17541</v>
      </c>
      <c r="AP22" s="47">
        <f t="shared" si="5"/>
        <v>0.1096</v>
      </c>
      <c r="AQ22" s="47">
        <f t="shared" si="25"/>
        <v>1096</v>
      </c>
      <c r="AR22" s="47"/>
      <c r="AS22" s="47">
        <f t="shared" si="26"/>
        <v>0.13159999999999999</v>
      </c>
      <c r="AT22" s="47">
        <f t="shared" si="6"/>
        <v>0.13159999999999999</v>
      </c>
      <c r="AU22" s="47">
        <f t="shared" si="27"/>
        <v>1316</v>
      </c>
      <c r="AV22" s="47">
        <f t="shared" si="7"/>
        <v>0</v>
      </c>
      <c r="AW22" s="47">
        <f t="shared" si="28"/>
        <v>0</v>
      </c>
      <c r="AX22" s="47">
        <f t="shared" si="8"/>
        <v>3.5568</v>
      </c>
      <c r="AY22" s="47"/>
      <c r="AZ22" s="47"/>
      <c r="BA22" s="54">
        <v>1E-4</v>
      </c>
      <c r="BB22" s="55" t="s">
        <v>147</v>
      </c>
      <c r="BC22" s="51">
        <f t="shared" si="29"/>
        <v>24.9</v>
      </c>
      <c r="BD22" s="47">
        <f t="shared" si="9"/>
        <v>4.8</v>
      </c>
      <c r="BE22" s="47">
        <f t="shared" si="30"/>
        <v>2.1</v>
      </c>
      <c r="BF22" s="47">
        <v>1750</v>
      </c>
      <c r="BG22" s="56">
        <v>18</v>
      </c>
      <c r="BH22" s="47"/>
      <c r="BI22" s="51">
        <f t="shared" si="10"/>
        <v>0</v>
      </c>
      <c r="BJ22" s="51">
        <f t="shared" si="11"/>
        <v>0</v>
      </c>
      <c r="BK22" s="47"/>
      <c r="BL22" s="47"/>
      <c r="BM22" s="47"/>
      <c r="BN22" s="47"/>
      <c r="BO22" s="47"/>
      <c r="BP22" s="47"/>
      <c r="BQ22" s="47"/>
      <c r="BR22" s="47"/>
      <c r="BS22" s="53"/>
      <c r="BT22" s="47"/>
      <c r="BU22" s="47"/>
      <c r="BV22" s="47"/>
      <c r="BW22" s="47"/>
      <c r="BX22" s="47"/>
      <c r="BY22" s="47"/>
      <c r="BZ22" s="47"/>
      <c r="CA22" s="47"/>
      <c r="CB22" s="54">
        <f t="shared" si="12"/>
        <v>64.834000000000003</v>
      </c>
    </row>
    <row r="23" spans="1:80" ht="14.25" customHeight="1">
      <c r="A23" s="47">
        <v>16</v>
      </c>
      <c r="B23" s="47" t="s">
        <v>129</v>
      </c>
      <c r="C23" s="48">
        <v>123001</v>
      </c>
      <c r="D23" s="49" t="s">
        <v>148</v>
      </c>
      <c r="E23" s="49" t="s">
        <v>141</v>
      </c>
      <c r="F23" s="50">
        <f t="shared" si="13"/>
        <v>5</v>
      </c>
      <c r="G23" s="50">
        <v>5</v>
      </c>
      <c r="H23" s="50"/>
      <c r="I23" s="50"/>
      <c r="J23" s="50"/>
      <c r="K23" s="50"/>
      <c r="L23" s="50"/>
      <c r="M23" s="50"/>
      <c r="N23" s="50"/>
      <c r="O23" s="50">
        <f t="shared" si="14"/>
        <v>5</v>
      </c>
      <c r="P23" s="51">
        <f t="shared" si="0"/>
        <v>97.210800000000006</v>
      </c>
      <c r="Q23" s="51">
        <f t="shared" si="1"/>
        <v>59.210800000000006</v>
      </c>
      <c r="R23" s="47">
        <f t="shared" si="15"/>
        <v>18366</v>
      </c>
      <c r="S23" s="52">
        <v>18366</v>
      </c>
      <c r="T23" s="47">
        <v>0</v>
      </c>
      <c r="U23" s="47">
        <f t="shared" si="16"/>
        <v>22.039200000000001</v>
      </c>
      <c r="V23" s="51">
        <f t="shared" si="2"/>
        <v>11.25</v>
      </c>
      <c r="W23" s="47">
        <f t="shared" si="17"/>
        <v>11.25</v>
      </c>
      <c r="X23" s="47"/>
      <c r="Y23" s="47"/>
      <c r="Z23" s="47"/>
      <c r="AA23" s="47"/>
      <c r="AB23" s="51">
        <f t="shared" si="18"/>
        <v>10.602600000000001</v>
      </c>
      <c r="AC23" s="47">
        <f t="shared" si="19"/>
        <v>1.8366</v>
      </c>
      <c r="AD23" s="47"/>
      <c r="AE23" s="47"/>
      <c r="AF23" s="47">
        <f t="shared" si="20"/>
        <v>8.766</v>
      </c>
      <c r="AG23" s="47">
        <v>7305</v>
      </c>
      <c r="AH23" s="47"/>
      <c r="AI23" s="47">
        <f t="shared" si="21"/>
        <v>0</v>
      </c>
      <c r="AJ23" s="53">
        <f t="shared" si="22"/>
        <v>7.0227000000000004</v>
      </c>
      <c r="AK23" s="53">
        <f t="shared" si="23"/>
        <v>70227</v>
      </c>
      <c r="AL23" s="47"/>
      <c r="AM23" s="47">
        <f t="shared" si="3"/>
        <v>2.8296000000000001</v>
      </c>
      <c r="AN23" s="47">
        <f t="shared" si="4"/>
        <v>2.6631</v>
      </c>
      <c r="AO23" s="47">
        <f t="shared" si="24"/>
        <v>26631</v>
      </c>
      <c r="AP23" s="47">
        <f t="shared" si="5"/>
        <v>0.16639999999999999</v>
      </c>
      <c r="AQ23" s="47">
        <f t="shared" si="25"/>
        <v>1664</v>
      </c>
      <c r="AR23" s="47"/>
      <c r="AS23" s="47">
        <f t="shared" si="26"/>
        <v>0.19969999999999999</v>
      </c>
      <c r="AT23" s="47">
        <f t="shared" si="6"/>
        <v>0.19969999999999999</v>
      </c>
      <c r="AU23" s="47">
        <f t="shared" si="27"/>
        <v>1997</v>
      </c>
      <c r="AV23" s="47">
        <f t="shared" si="7"/>
        <v>0</v>
      </c>
      <c r="AW23" s="47">
        <f t="shared" si="28"/>
        <v>0</v>
      </c>
      <c r="AX23" s="47">
        <f t="shared" si="8"/>
        <v>5.2670000000000003</v>
      </c>
      <c r="AY23" s="47"/>
      <c r="AZ23" s="47"/>
      <c r="BA23" s="54">
        <v>1E-4</v>
      </c>
      <c r="BB23" s="55" t="s">
        <v>148</v>
      </c>
      <c r="BC23" s="51">
        <f t="shared" si="29"/>
        <v>35.659999999999997</v>
      </c>
      <c r="BD23" s="47">
        <f t="shared" si="9"/>
        <v>6</v>
      </c>
      <c r="BE23" s="47">
        <f t="shared" si="30"/>
        <v>3.66</v>
      </c>
      <c r="BF23" s="47">
        <v>3050</v>
      </c>
      <c r="BG23" s="56">
        <v>26</v>
      </c>
      <c r="BH23" s="47"/>
      <c r="BI23" s="51">
        <f t="shared" si="10"/>
        <v>2.34</v>
      </c>
      <c r="BJ23" s="51">
        <f t="shared" si="11"/>
        <v>0</v>
      </c>
      <c r="BK23" s="47"/>
      <c r="BL23" s="47"/>
      <c r="BM23" s="47"/>
      <c r="BN23" s="47"/>
      <c r="BO23" s="47"/>
      <c r="BP23" s="47">
        <v>2.34</v>
      </c>
      <c r="BQ23" s="47"/>
      <c r="BR23" s="47"/>
      <c r="BS23" s="53"/>
      <c r="BT23" s="47"/>
      <c r="BU23" s="47"/>
      <c r="BV23" s="47"/>
      <c r="BW23" s="47"/>
      <c r="BX23" s="47"/>
      <c r="BY23" s="47"/>
      <c r="BZ23" s="47"/>
      <c r="CA23" s="47"/>
      <c r="CB23" s="54">
        <f t="shared" si="12"/>
        <v>97.210800000000006</v>
      </c>
    </row>
    <row r="24" spans="1:80" ht="14.25" customHeight="1">
      <c r="A24" s="47">
        <v>17</v>
      </c>
      <c r="B24" s="47" t="s">
        <v>129</v>
      </c>
      <c r="C24" s="48">
        <v>126001</v>
      </c>
      <c r="D24" s="49" t="s">
        <v>149</v>
      </c>
      <c r="E24" s="49" t="s">
        <v>150</v>
      </c>
      <c r="F24" s="50">
        <f t="shared" si="13"/>
        <v>21</v>
      </c>
      <c r="G24" s="50"/>
      <c r="H24" s="50"/>
      <c r="I24" s="50">
        <v>18</v>
      </c>
      <c r="J24" s="50">
        <v>3</v>
      </c>
      <c r="K24" s="50"/>
      <c r="L24" s="50"/>
      <c r="M24" s="50"/>
      <c r="N24" s="50">
        <v>4</v>
      </c>
      <c r="O24" s="50">
        <f t="shared" si="14"/>
        <v>25</v>
      </c>
      <c r="P24" s="51">
        <f t="shared" si="0"/>
        <v>314.19739999999996</v>
      </c>
      <c r="Q24" s="51">
        <f t="shared" si="1"/>
        <v>211.03739999999996</v>
      </c>
      <c r="R24" s="47">
        <f t="shared" si="15"/>
        <v>58872</v>
      </c>
      <c r="S24" s="52"/>
      <c r="T24" s="47">
        <v>58872</v>
      </c>
      <c r="U24" s="47">
        <f t="shared" si="16"/>
        <v>70.6464</v>
      </c>
      <c r="V24" s="51">
        <f t="shared" si="2"/>
        <v>0</v>
      </c>
      <c r="W24" s="47">
        <f t="shared" si="17"/>
        <v>0</v>
      </c>
      <c r="X24" s="47"/>
      <c r="Y24" s="47"/>
      <c r="Z24" s="47"/>
      <c r="AA24" s="47"/>
      <c r="AB24" s="51">
        <f t="shared" si="18"/>
        <v>30.24</v>
      </c>
      <c r="AC24" s="47">
        <f t="shared" si="19"/>
        <v>0</v>
      </c>
      <c r="AD24" s="47"/>
      <c r="AE24" s="47"/>
      <c r="AF24" s="47">
        <f t="shared" si="20"/>
        <v>30.24</v>
      </c>
      <c r="AG24" s="47">
        <v>25200</v>
      </c>
      <c r="AH24" s="47"/>
      <c r="AI24" s="47">
        <f t="shared" si="21"/>
        <v>54.39</v>
      </c>
      <c r="AJ24" s="53">
        <f t="shared" si="22"/>
        <v>24.844200000000001</v>
      </c>
      <c r="AK24" s="53">
        <f t="shared" si="23"/>
        <v>248442</v>
      </c>
      <c r="AL24" s="47"/>
      <c r="AM24" s="47">
        <f t="shared" si="3"/>
        <v>10.658099999999999</v>
      </c>
      <c r="AN24" s="47">
        <f t="shared" si="4"/>
        <v>10.0329</v>
      </c>
      <c r="AO24" s="47">
        <f t="shared" si="24"/>
        <v>100329</v>
      </c>
      <c r="AP24" s="47">
        <f t="shared" si="5"/>
        <v>0.62519999999999998</v>
      </c>
      <c r="AQ24" s="47">
        <f t="shared" si="25"/>
        <v>6252</v>
      </c>
      <c r="AR24" s="47"/>
      <c r="AS24" s="47">
        <f t="shared" si="26"/>
        <v>1.6254999999999999</v>
      </c>
      <c r="AT24" s="47">
        <f t="shared" si="6"/>
        <v>0.75019999999999998</v>
      </c>
      <c r="AU24" s="47">
        <f t="shared" si="27"/>
        <v>7502</v>
      </c>
      <c r="AV24" s="47">
        <f t="shared" si="7"/>
        <v>0.87529999999999997</v>
      </c>
      <c r="AW24" s="47">
        <f t="shared" si="28"/>
        <v>8753</v>
      </c>
      <c r="AX24" s="47">
        <f t="shared" si="8"/>
        <v>18.633199999999999</v>
      </c>
      <c r="AY24" s="47"/>
      <c r="AZ24" s="47"/>
      <c r="BA24" s="54">
        <v>1E-4</v>
      </c>
      <c r="BB24" s="55" t="s">
        <v>149</v>
      </c>
      <c r="BC24" s="51">
        <f t="shared" si="29"/>
        <v>103.16</v>
      </c>
      <c r="BD24" s="47">
        <f t="shared" si="9"/>
        <v>20.16</v>
      </c>
      <c r="BE24" s="47">
        <f t="shared" si="30"/>
        <v>0</v>
      </c>
      <c r="BF24" s="47"/>
      <c r="BG24" s="56">
        <v>83</v>
      </c>
      <c r="BH24" s="47"/>
      <c r="BI24" s="51">
        <f t="shared" si="10"/>
        <v>0</v>
      </c>
      <c r="BJ24" s="51">
        <f t="shared" si="11"/>
        <v>0</v>
      </c>
      <c r="BK24" s="47"/>
      <c r="BL24" s="47"/>
      <c r="BM24" s="47"/>
      <c r="BN24" s="47"/>
      <c r="BO24" s="47"/>
      <c r="BP24" s="47"/>
      <c r="BQ24" s="47"/>
      <c r="BR24" s="47"/>
      <c r="BS24" s="53"/>
      <c r="BT24" s="47"/>
      <c r="BU24" s="47"/>
      <c r="BV24" s="47"/>
      <c r="BW24" s="47"/>
      <c r="BX24" s="47"/>
      <c r="BY24" s="47"/>
      <c r="BZ24" s="47"/>
      <c r="CA24" s="47"/>
      <c r="CB24" s="54">
        <f t="shared" si="12"/>
        <v>314.19739999999996</v>
      </c>
    </row>
    <row r="25" spans="1:80" ht="14.25" customHeight="1">
      <c r="A25" s="47">
        <v>18</v>
      </c>
      <c r="B25" s="47" t="s">
        <v>129</v>
      </c>
      <c r="C25" s="48">
        <v>122001</v>
      </c>
      <c r="D25" s="49" t="s">
        <v>151</v>
      </c>
      <c r="E25" s="49" t="s">
        <v>131</v>
      </c>
      <c r="F25" s="50">
        <f t="shared" si="13"/>
        <v>17</v>
      </c>
      <c r="G25" s="50">
        <v>12</v>
      </c>
      <c r="H25" s="50">
        <v>1</v>
      </c>
      <c r="I25" s="50">
        <v>2</v>
      </c>
      <c r="J25" s="50">
        <v>2</v>
      </c>
      <c r="K25" s="50"/>
      <c r="L25" s="50"/>
      <c r="M25" s="50"/>
      <c r="N25" s="50">
        <v>3</v>
      </c>
      <c r="O25" s="50">
        <f t="shared" si="14"/>
        <v>20</v>
      </c>
      <c r="P25" s="51">
        <f t="shared" si="0"/>
        <v>230.02510000000001</v>
      </c>
      <c r="Q25" s="51">
        <f t="shared" si="1"/>
        <v>197.92910000000001</v>
      </c>
      <c r="R25" s="47">
        <f t="shared" si="15"/>
        <v>58557</v>
      </c>
      <c r="S25" s="52">
        <v>47593</v>
      </c>
      <c r="T25" s="47">
        <v>10964</v>
      </c>
      <c r="U25" s="47">
        <f t="shared" si="16"/>
        <v>70.2684</v>
      </c>
      <c r="V25" s="51">
        <f t="shared" si="2"/>
        <v>34.043999999999997</v>
      </c>
      <c r="W25" s="47">
        <f t="shared" si="17"/>
        <v>29.25</v>
      </c>
      <c r="X25" s="47"/>
      <c r="Y25" s="47"/>
      <c r="Z25" s="47"/>
      <c r="AA25" s="47">
        <v>4.7939999999999996</v>
      </c>
      <c r="AB25" s="51">
        <f t="shared" si="18"/>
        <v>33.0505</v>
      </c>
      <c r="AC25" s="47">
        <f t="shared" si="19"/>
        <v>4.7592999999999996</v>
      </c>
      <c r="AD25" s="47"/>
      <c r="AE25" s="47"/>
      <c r="AF25" s="47">
        <f t="shared" si="20"/>
        <v>28.2912</v>
      </c>
      <c r="AG25" s="47">
        <v>23576</v>
      </c>
      <c r="AH25" s="47"/>
      <c r="AI25" s="47">
        <f t="shared" si="21"/>
        <v>10.36</v>
      </c>
      <c r="AJ25" s="53">
        <f t="shared" si="22"/>
        <v>22.868600000000001</v>
      </c>
      <c r="AK25" s="53">
        <f t="shared" si="23"/>
        <v>228686</v>
      </c>
      <c r="AL25" s="47"/>
      <c r="AM25" s="47">
        <f t="shared" si="3"/>
        <v>9.3621999999999996</v>
      </c>
      <c r="AN25" s="47">
        <f t="shared" si="4"/>
        <v>8.8127999999999993</v>
      </c>
      <c r="AO25" s="47">
        <f t="shared" si="24"/>
        <v>88128</v>
      </c>
      <c r="AP25" s="47">
        <f t="shared" si="5"/>
        <v>0.5494</v>
      </c>
      <c r="AQ25" s="47">
        <f t="shared" si="25"/>
        <v>5494</v>
      </c>
      <c r="AR25" s="47"/>
      <c r="AS25" s="47">
        <f t="shared" si="26"/>
        <v>0.82389999999999997</v>
      </c>
      <c r="AT25" s="47">
        <f t="shared" si="6"/>
        <v>0.6593</v>
      </c>
      <c r="AU25" s="47">
        <f t="shared" si="27"/>
        <v>6593</v>
      </c>
      <c r="AV25" s="47">
        <f t="shared" si="7"/>
        <v>0.1646</v>
      </c>
      <c r="AW25" s="47">
        <f t="shared" si="28"/>
        <v>1646</v>
      </c>
      <c r="AX25" s="47">
        <f t="shared" si="8"/>
        <v>17.151499999999999</v>
      </c>
      <c r="AY25" s="47"/>
      <c r="AZ25" s="47"/>
      <c r="BA25" s="54">
        <v>1E-4</v>
      </c>
      <c r="BB25" s="55" t="s">
        <v>151</v>
      </c>
      <c r="BC25" s="51">
        <f t="shared" si="29"/>
        <v>31.267999999999997</v>
      </c>
      <c r="BD25" s="47">
        <f t="shared" si="9"/>
        <v>19.439999999999998</v>
      </c>
      <c r="BE25" s="47">
        <f t="shared" si="30"/>
        <v>9.8279999999999994</v>
      </c>
      <c r="BF25" s="47">
        <v>8190</v>
      </c>
      <c r="BG25" s="56">
        <v>2</v>
      </c>
      <c r="BH25" s="47"/>
      <c r="BI25" s="51">
        <f t="shared" si="10"/>
        <v>0.82799999999999996</v>
      </c>
      <c r="BJ25" s="51">
        <f t="shared" si="11"/>
        <v>0</v>
      </c>
      <c r="BK25" s="47"/>
      <c r="BL25" s="47"/>
      <c r="BM25" s="47"/>
      <c r="BN25" s="47"/>
      <c r="BO25" s="47"/>
      <c r="BP25" s="47">
        <v>0.82799999999999996</v>
      </c>
      <c r="BQ25" s="47"/>
      <c r="BR25" s="47"/>
      <c r="BS25" s="53"/>
      <c r="BT25" s="47"/>
      <c r="BU25" s="47"/>
      <c r="BV25" s="47"/>
      <c r="BW25" s="47"/>
      <c r="BX25" s="47"/>
      <c r="BY25" s="47"/>
      <c r="BZ25" s="47"/>
      <c r="CA25" s="47"/>
      <c r="CB25" s="54">
        <f t="shared" si="12"/>
        <v>230.02510000000001</v>
      </c>
    </row>
    <row r="26" spans="1:80" ht="14.25" customHeight="1">
      <c r="A26" s="47">
        <v>19</v>
      </c>
      <c r="B26" s="47" t="s">
        <v>129</v>
      </c>
      <c r="C26" s="48">
        <v>124001</v>
      </c>
      <c r="D26" s="49" t="s">
        <v>152</v>
      </c>
      <c r="E26" s="49" t="s">
        <v>131</v>
      </c>
      <c r="F26" s="50">
        <f t="shared" si="13"/>
        <v>18</v>
      </c>
      <c r="G26" s="50">
        <v>13</v>
      </c>
      <c r="H26" s="50">
        <v>4</v>
      </c>
      <c r="I26" s="50">
        <v>1</v>
      </c>
      <c r="J26" s="50"/>
      <c r="K26" s="50"/>
      <c r="L26" s="50"/>
      <c r="M26" s="50"/>
      <c r="N26" s="50">
        <v>3</v>
      </c>
      <c r="O26" s="50">
        <f t="shared" si="14"/>
        <v>21</v>
      </c>
      <c r="P26" s="51">
        <f t="shared" si="0"/>
        <v>407.19939999999997</v>
      </c>
      <c r="Q26" s="51">
        <f t="shared" si="1"/>
        <v>256.4314</v>
      </c>
      <c r="R26" s="47">
        <f t="shared" si="15"/>
        <v>61719</v>
      </c>
      <c r="S26" s="52">
        <v>58996</v>
      </c>
      <c r="T26" s="47">
        <v>2723</v>
      </c>
      <c r="U26" s="47">
        <f t="shared" si="16"/>
        <v>74.062799999999996</v>
      </c>
      <c r="V26" s="51">
        <f t="shared" si="2"/>
        <v>38.25</v>
      </c>
      <c r="W26" s="47">
        <f t="shared" si="17"/>
        <v>38.25</v>
      </c>
      <c r="X26" s="47"/>
      <c r="Y26" s="47"/>
      <c r="Z26" s="47"/>
      <c r="AA26" s="47"/>
      <c r="AB26" s="51">
        <f t="shared" si="18"/>
        <v>36.590800000000002</v>
      </c>
      <c r="AC26" s="47">
        <f t="shared" si="19"/>
        <v>5.8996000000000004</v>
      </c>
      <c r="AD26" s="47"/>
      <c r="AE26" s="47"/>
      <c r="AF26" s="47">
        <f t="shared" si="20"/>
        <v>30.691199999999998</v>
      </c>
      <c r="AG26" s="47">
        <v>25576</v>
      </c>
      <c r="AH26" s="47"/>
      <c r="AI26" s="47">
        <f t="shared" si="21"/>
        <v>2.59</v>
      </c>
      <c r="AJ26" s="53">
        <f t="shared" si="22"/>
        <v>24.239000000000001</v>
      </c>
      <c r="AK26" s="53">
        <f t="shared" si="23"/>
        <v>242390</v>
      </c>
      <c r="AL26" s="47"/>
      <c r="AM26" s="47">
        <f t="shared" si="3"/>
        <v>9.7891999999999992</v>
      </c>
      <c r="AN26" s="47">
        <f t="shared" si="4"/>
        <v>9.2147000000000006</v>
      </c>
      <c r="AO26" s="47">
        <f t="shared" si="24"/>
        <v>92147</v>
      </c>
      <c r="AP26" s="47">
        <f t="shared" si="5"/>
        <v>0.57450000000000001</v>
      </c>
      <c r="AQ26" s="47">
        <f t="shared" si="25"/>
        <v>5745</v>
      </c>
      <c r="AR26" s="47"/>
      <c r="AS26" s="47">
        <f t="shared" si="26"/>
        <v>0.73040000000000005</v>
      </c>
      <c r="AT26" s="47">
        <f t="shared" si="6"/>
        <v>0.68940000000000001</v>
      </c>
      <c r="AU26" s="47">
        <f t="shared" si="27"/>
        <v>6894</v>
      </c>
      <c r="AV26" s="47">
        <f t="shared" si="7"/>
        <v>4.1000000000000002E-2</v>
      </c>
      <c r="AW26" s="47">
        <f t="shared" si="28"/>
        <v>410</v>
      </c>
      <c r="AX26" s="47">
        <f t="shared" si="8"/>
        <v>18.179200000000002</v>
      </c>
      <c r="AY26" s="47"/>
      <c r="AZ26" s="47">
        <v>52</v>
      </c>
      <c r="BA26" s="54">
        <v>1E-4</v>
      </c>
      <c r="BB26" s="55" t="s">
        <v>152</v>
      </c>
      <c r="BC26" s="51">
        <f t="shared" si="29"/>
        <v>135.768</v>
      </c>
      <c r="BD26" s="47">
        <f t="shared" si="9"/>
        <v>21.36</v>
      </c>
      <c r="BE26" s="47">
        <f t="shared" si="30"/>
        <v>12.407999999999999</v>
      </c>
      <c r="BF26" s="47">
        <v>10340</v>
      </c>
      <c r="BG26" s="56">
        <f>102</f>
        <v>102</v>
      </c>
      <c r="BH26" s="47"/>
      <c r="BI26" s="51">
        <f t="shared" si="10"/>
        <v>15</v>
      </c>
      <c r="BJ26" s="51">
        <f t="shared" si="11"/>
        <v>0</v>
      </c>
      <c r="BK26" s="47"/>
      <c r="BL26" s="47"/>
      <c r="BM26" s="47"/>
      <c r="BN26" s="47"/>
      <c r="BO26" s="47"/>
      <c r="BP26" s="47"/>
      <c r="BQ26" s="47"/>
      <c r="BR26" s="47"/>
      <c r="BS26" s="53"/>
      <c r="BT26" s="47"/>
      <c r="BU26" s="47"/>
      <c r="BV26" s="47"/>
      <c r="BW26" s="47">
        <v>15</v>
      </c>
      <c r="BX26" s="47"/>
      <c r="BY26" s="47"/>
      <c r="BZ26" s="47"/>
      <c r="CA26" s="47"/>
      <c r="CB26" s="54">
        <f t="shared" si="12"/>
        <v>407.19939999999997</v>
      </c>
    </row>
    <row r="27" spans="1:80" ht="14.25" customHeight="1">
      <c r="A27" s="47">
        <v>20</v>
      </c>
      <c r="B27" s="47" t="s">
        <v>129</v>
      </c>
      <c r="C27" s="48">
        <v>118001</v>
      </c>
      <c r="D27" s="49" t="s">
        <v>153</v>
      </c>
      <c r="E27" s="49" t="s">
        <v>131</v>
      </c>
      <c r="F27" s="50">
        <f t="shared" si="13"/>
        <v>17</v>
      </c>
      <c r="G27" s="50">
        <v>11</v>
      </c>
      <c r="H27" s="50"/>
      <c r="I27" s="50">
        <v>6</v>
      </c>
      <c r="J27" s="50"/>
      <c r="K27" s="50"/>
      <c r="L27" s="50"/>
      <c r="M27" s="50"/>
      <c r="N27" s="50">
        <v>3</v>
      </c>
      <c r="O27" s="50">
        <f t="shared" si="14"/>
        <v>20</v>
      </c>
      <c r="P27" s="51">
        <f t="shared" si="0"/>
        <v>231.89749999999998</v>
      </c>
      <c r="Q27" s="51">
        <f t="shared" si="1"/>
        <v>190.77749999999997</v>
      </c>
      <c r="R27" s="47">
        <f t="shared" si="15"/>
        <v>56918</v>
      </c>
      <c r="S27" s="52">
        <v>41891</v>
      </c>
      <c r="T27" s="47">
        <v>15027</v>
      </c>
      <c r="U27" s="47">
        <f t="shared" si="16"/>
        <v>68.301599999999993</v>
      </c>
      <c r="V27" s="51">
        <f t="shared" si="2"/>
        <v>24.75</v>
      </c>
      <c r="W27" s="47">
        <f t="shared" si="17"/>
        <v>24.75</v>
      </c>
      <c r="X27" s="47"/>
      <c r="Y27" s="47"/>
      <c r="Z27" s="47"/>
      <c r="AA27" s="47"/>
      <c r="AB27" s="51">
        <f t="shared" si="18"/>
        <v>32.5319</v>
      </c>
      <c r="AC27" s="47">
        <f t="shared" si="19"/>
        <v>4.1890999999999998</v>
      </c>
      <c r="AD27" s="47"/>
      <c r="AE27" s="47"/>
      <c r="AF27" s="47">
        <f t="shared" si="20"/>
        <v>28.3428</v>
      </c>
      <c r="AG27" s="47">
        <v>23619</v>
      </c>
      <c r="AH27" s="47"/>
      <c r="AI27" s="47">
        <f t="shared" si="21"/>
        <v>15.54</v>
      </c>
      <c r="AJ27" s="53">
        <f t="shared" si="22"/>
        <v>22.579799999999999</v>
      </c>
      <c r="AK27" s="53">
        <f t="shared" si="23"/>
        <v>225798</v>
      </c>
      <c r="AL27" s="47"/>
      <c r="AM27" s="47">
        <f t="shared" si="3"/>
        <v>9.2528000000000006</v>
      </c>
      <c r="AN27" s="47">
        <f t="shared" si="4"/>
        <v>8.7097999999999995</v>
      </c>
      <c r="AO27" s="47">
        <f t="shared" si="24"/>
        <v>87098</v>
      </c>
      <c r="AP27" s="47">
        <f t="shared" si="5"/>
        <v>0.54300000000000004</v>
      </c>
      <c r="AQ27" s="47">
        <f t="shared" si="25"/>
        <v>5430</v>
      </c>
      <c r="AR27" s="47"/>
      <c r="AS27" s="47">
        <f t="shared" si="26"/>
        <v>0.88660000000000005</v>
      </c>
      <c r="AT27" s="47">
        <f t="shared" si="6"/>
        <v>0.65149999999999997</v>
      </c>
      <c r="AU27" s="47">
        <f t="shared" si="27"/>
        <v>6515</v>
      </c>
      <c r="AV27" s="47">
        <f t="shared" si="7"/>
        <v>0.23499999999999999</v>
      </c>
      <c r="AW27" s="47">
        <f t="shared" si="28"/>
        <v>2350</v>
      </c>
      <c r="AX27" s="47">
        <f t="shared" si="8"/>
        <v>16.934799999999999</v>
      </c>
      <c r="AY27" s="47"/>
      <c r="AZ27" s="47"/>
      <c r="BA27" s="54">
        <v>1E-4</v>
      </c>
      <c r="BB27" s="55" t="s">
        <v>153</v>
      </c>
      <c r="BC27" s="51">
        <f t="shared" si="29"/>
        <v>41.120000000000005</v>
      </c>
      <c r="BD27" s="47">
        <f t="shared" si="9"/>
        <v>18.96</v>
      </c>
      <c r="BE27" s="47">
        <f t="shared" si="30"/>
        <v>8.16</v>
      </c>
      <c r="BF27" s="47">
        <v>6800</v>
      </c>
      <c r="BG27" s="56">
        <v>14</v>
      </c>
      <c r="BH27" s="47"/>
      <c r="BI27" s="51">
        <f t="shared" si="10"/>
        <v>0</v>
      </c>
      <c r="BJ27" s="51">
        <f t="shared" si="11"/>
        <v>0</v>
      </c>
      <c r="BK27" s="47"/>
      <c r="BL27" s="47"/>
      <c r="BM27" s="47"/>
      <c r="BN27" s="47"/>
      <c r="BO27" s="47"/>
      <c r="BP27" s="47"/>
      <c r="BQ27" s="47"/>
      <c r="BR27" s="47"/>
      <c r="BS27" s="53"/>
      <c r="BT27" s="47"/>
      <c r="BU27" s="47"/>
      <c r="BV27" s="47"/>
      <c r="BW27" s="47"/>
      <c r="BX27" s="47"/>
      <c r="BY27" s="47"/>
      <c r="BZ27" s="47"/>
      <c r="CA27" s="47"/>
      <c r="CB27" s="54">
        <f t="shared" si="12"/>
        <v>231.89749999999998</v>
      </c>
    </row>
    <row r="28" spans="1:80" ht="14.25" customHeight="1">
      <c r="A28" s="47">
        <v>21</v>
      </c>
      <c r="B28" s="47" t="s">
        <v>129</v>
      </c>
      <c r="C28" s="48">
        <v>113001</v>
      </c>
      <c r="D28" s="49" t="s">
        <v>154</v>
      </c>
      <c r="E28" s="49" t="s">
        <v>131</v>
      </c>
      <c r="F28" s="50">
        <f t="shared" si="13"/>
        <v>143</v>
      </c>
      <c r="G28" s="50">
        <v>94</v>
      </c>
      <c r="H28" s="50">
        <v>8</v>
      </c>
      <c r="I28" s="50">
        <v>41</v>
      </c>
      <c r="J28" s="50"/>
      <c r="K28" s="50"/>
      <c r="L28" s="50"/>
      <c r="M28" s="50"/>
      <c r="N28" s="50">
        <v>48</v>
      </c>
      <c r="O28" s="50">
        <f t="shared" si="14"/>
        <v>191</v>
      </c>
      <c r="P28" s="51">
        <f t="shared" si="0"/>
        <v>2501.9672399999999</v>
      </c>
      <c r="Q28" s="51">
        <f t="shared" si="1"/>
        <v>1641.76964</v>
      </c>
      <c r="R28" s="47">
        <f t="shared" si="15"/>
        <v>509544.2</v>
      </c>
      <c r="S28" s="58">
        <v>385726.2</v>
      </c>
      <c r="T28" s="51">
        <v>123818</v>
      </c>
      <c r="U28" s="47">
        <f t="shared" si="16"/>
        <v>611.45303999999999</v>
      </c>
      <c r="V28" s="51">
        <f t="shared" si="2"/>
        <v>229.5</v>
      </c>
      <c r="W28" s="47">
        <f t="shared" si="17"/>
        <v>229.5</v>
      </c>
      <c r="X28" s="47"/>
      <c r="Y28" s="47"/>
      <c r="Z28" s="47"/>
      <c r="AA28" s="47"/>
      <c r="AB28" s="51">
        <f t="shared" si="18"/>
        <v>266.47899999999998</v>
      </c>
      <c r="AC28" s="47">
        <f t="shared" si="19"/>
        <v>38.572600000000001</v>
      </c>
      <c r="AD28" s="47"/>
      <c r="AE28" s="47"/>
      <c r="AF28" s="47">
        <f t="shared" si="20"/>
        <v>227.90639999999999</v>
      </c>
      <c r="AG28" s="47">
        <v>189922</v>
      </c>
      <c r="AH28" s="47"/>
      <c r="AI28" s="47">
        <f t="shared" si="21"/>
        <v>106.19</v>
      </c>
      <c r="AJ28" s="53">
        <f t="shared" si="22"/>
        <v>194.17949999999999</v>
      </c>
      <c r="AK28" s="53">
        <f t="shared" si="23"/>
        <v>1941795</v>
      </c>
      <c r="AL28" s="47"/>
      <c r="AM28" s="47">
        <f t="shared" si="3"/>
        <v>80.867199999999997</v>
      </c>
      <c r="AN28" s="47">
        <f t="shared" si="4"/>
        <v>76.131399999999999</v>
      </c>
      <c r="AO28" s="47">
        <f t="shared" si="24"/>
        <v>761314</v>
      </c>
      <c r="AP28" s="47">
        <f t="shared" si="5"/>
        <v>4.7356999999999996</v>
      </c>
      <c r="AQ28" s="47">
        <f t="shared" si="25"/>
        <v>47356.999999999993</v>
      </c>
      <c r="AR28" s="47"/>
      <c r="AS28" s="47">
        <f t="shared" si="26"/>
        <v>7.4663000000000004</v>
      </c>
      <c r="AT28" s="47">
        <f t="shared" si="6"/>
        <v>5.6829000000000001</v>
      </c>
      <c r="AU28" s="47">
        <f t="shared" si="27"/>
        <v>56829</v>
      </c>
      <c r="AV28" s="47">
        <f t="shared" si="7"/>
        <v>1.7834000000000001</v>
      </c>
      <c r="AW28" s="47">
        <f t="shared" si="28"/>
        <v>17834</v>
      </c>
      <c r="AX28" s="47">
        <f t="shared" si="8"/>
        <v>145.63460000000001</v>
      </c>
      <c r="AY28" s="47"/>
      <c r="AZ28" s="47"/>
      <c r="BA28" s="54">
        <v>1E-4</v>
      </c>
      <c r="BB28" s="55" t="s">
        <v>154</v>
      </c>
      <c r="BC28" s="51">
        <f t="shared" si="29"/>
        <v>855.44799999999998</v>
      </c>
      <c r="BD28" s="47">
        <f t="shared" si="9"/>
        <v>161.76</v>
      </c>
      <c r="BE28" s="47">
        <f t="shared" si="30"/>
        <v>71.688000000000002</v>
      </c>
      <c r="BF28" s="47">
        <v>59740</v>
      </c>
      <c r="BG28" s="56">
        <v>120</v>
      </c>
      <c r="BH28" s="47">
        <v>502</v>
      </c>
      <c r="BI28" s="51">
        <f t="shared" si="10"/>
        <v>4.7496</v>
      </c>
      <c r="BJ28" s="51">
        <f t="shared" si="11"/>
        <v>0</v>
      </c>
      <c r="BK28" s="47"/>
      <c r="BL28" s="47"/>
      <c r="BM28" s="47"/>
      <c r="BN28" s="47"/>
      <c r="BO28" s="47"/>
      <c r="BP28" s="47">
        <v>4.7496</v>
      </c>
      <c r="BQ28" s="47"/>
      <c r="BR28" s="47"/>
      <c r="BS28" s="53"/>
      <c r="BT28" s="47"/>
      <c r="BU28" s="47"/>
      <c r="BV28" s="47"/>
      <c r="BW28" s="47"/>
      <c r="BX28" s="47"/>
      <c r="BY28" s="47"/>
      <c r="BZ28" s="47"/>
      <c r="CA28" s="47"/>
      <c r="CB28" s="54">
        <f t="shared" si="12"/>
        <v>2501.9672399999999</v>
      </c>
    </row>
    <row r="29" spans="1:80" ht="14.25" customHeight="1">
      <c r="A29" s="47">
        <v>22</v>
      </c>
      <c r="B29" s="47" t="s">
        <v>129</v>
      </c>
      <c r="C29" s="48">
        <v>114001</v>
      </c>
      <c r="D29" s="49" t="s">
        <v>155</v>
      </c>
      <c r="E29" s="49" t="s">
        <v>131</v>
      </c>
      <c r="F29" s="50">
        <f t="shared" si="13"/>
        <v>30</v>
      </c>
      <c r="G29" s="50">
        <v>20</v>
      </c>
      <c r="H29" s="50">
        <v>1</v>
      </c>
      <c r="I29" s="50">
        <v>9</v>
      </c>
      <c r="J29" s="50"/>
      <c r="K29" s="50"/>
      <c r="L29" s="50"/>
      <c r="M29" s="50"/>
      <c r="N29" s="50">
        <v>13</v>
      </c>
      <c r="O29" s="50">
        <f t="shared" si="14"/>
        <v>43</v>
      </c>
      <c r="P29" s="51">
        <f t="shared" si="0"/>
        <v>444.10617999999999</v>
      </c>
      <c r="Q29" s="51">
        <f t="shared" si="1"/>
        <v>345.77817999999996</v>
      </c>
      <c r="R29" s="47">
        <f t="shared" si="15"/>
        <v>102537.4</v>
      </c>
      <c r="S29" s="58">
        <v>80625.399999999994</v>
      </c>
      <c r="T29" s="51">
        <v>21912</v>
      </c>
      <c r="U29" s="47">
        <f t="shared" si="16"/>
        <v>123.04488000000001</v>
      </c>
      <c r="V29" s="51">
        <f t="shared" si="2"/>
        <v>55.17</v>
      </c>
      <c r="W29" s="47">
        <f t="shared" si="17"/>
        <v>47.25</v>
      </c>
      <c r="X29" s="47"/>
      <c r="Y29" s="47"/>
      <c r="Z29" s="47"/>
      <c r="AA29" s="47">
        <v>7.92</v>
      </c>
      <c r="AB29" s="51">
        <f t="shared" si="18"/>
        <v>56.235300000000002</v>
      </c>
      <c r="AC29" s="47">
        <f t="shared" si="19"/>
        <v>8.0625</v>
      </c>
      <c r="AD29" s="47"/>
      <c r="AE29" s="47"/>
      <c r="AF29" s="47">
        <f t="shared" si="20"/>
        <v>48.172800000000002</v>
      </c>
      <c r="AG29" s="47">
        <v>40144</v>
      </c>
      <c r="AH29" s="47"/>
      <c r="AI29" s="47">
        <f t="shared" si="21"/>
        <v>23.31</v>
      </c>
      <c r="AJ29" s="53">
        <f t="shared" si="22"/>
        <v>39.974400000000003</v>
      </c>
      <c r="AK29" s="53">
        <f t="shared" si="23"/>
        <v>399744</v>
      </c>
      <c r="AL29" s="47"/>
      <c r="AM29" s="47">
        <f t="shared" si="3"/>
        <v>16.553899999999999</v>
      </c>
      <c r="AN29" s="47">
        <f t="shared" si="4"/>
        <v>15.585900000000001</v>
      </c>
      <c r="AO29" s="47">
        <f t="shared" si="24"/>
        <v>155859</v>
      </c>
      <c r="AP29" s="47">
        <f t="shared" si="5"/>
        <v>0.96799999999999997</v>
      </c>
      <c r="AQ29" s="47">
        <f t="shared" si="25"/>
        <v>9680</v>
      </c>
      <c r="AR29" s="47"/>
      <c r="AS29" s="47">
        <f t="shared" si="26"/>
        <v>1.5088999999999999</v>
      </c>
      <c r="AT29" s="47">
        <f t="shared" si="6"/>
        <v>1.1616</v>
      </c>
      <c r="AU29" s="47">
        <f t="shared" si="27"/>
        <v>11616</v>
      </c>
      <c r="AV29" s="47">
        <f t="shared" si="7"/>
        <v>0.34720000000000001</v>
      </c>
      <c r="AW29" s="47">
        <f t="shared" si="28"/>
        <v>3472</v>
      </c>
      <c r="AX29" s="47">
        <f t="shared" si="8"/>
        <v>29.980799999999999</v>
      </c>
      <c r="AY29" s="47"/>
      <c r="AZ29" s="47"/>
      <c r="BA29" s="54">
        <v>1E-4</v>
      </c>
      <c r="BB29" s="55" t="s">
        <v>155</v>
      </c>
      <c r="BC29" s="51">
        <f t="shared" si="29"/>
        <v>98.328000000000003</v>
      </c>
      <c r="BD29" s="47">
        <f t="shared" si="9"/>
        <v>33.840000000000003</v>
      </c>
      <c r="BE29" s="47">
        <f t="shared" si="30"/>
        <v>16.488</v>
      </c>
      <c r="BF29" s="47">
        <v>13740</v>
      </c>
      <c r="BG29" s="56">
        <v>42</v>
      </c>
      <c r="BH29" s="47">
        <v>6</v>
      </c>
      <c r="BI29" s="51">
        <f t="shared" si="10"/>
        <v>0</v>
      </c>
      <c r="BJ29" s="51">
        <f t="shared" si="11"/>
        <v>0</v>
      </c>
      <c r="BK29" s="47"/>
      <c r="BL29" s="47"/>
      <c r="BM29" s="47"/>
      <c r="BN29" s="47"/>
      <c r="BO29" s="47"/>
      <c r="BP29" s="47"/>
      <c r="BQ29" s="47"/>
      <c r="BR29" s="47"/>
      <c r="BS29" s="53"/>
      <c r="BT29" s="47"/>
      <c r="BU29" s="47"/>
      <c r="BV29" s="47"/>
      <c r="BW29" s="47"/>
      <c r="BX29" s="47"/>
      <c r="BY29" s="47"/>
      <c r="BZ29" s="47"/>
      <c r="CA29" s="47"/>
      <c r="CB29" s="54">
        <f t="shared" si="12"/>
        <v>444.10617999999999</v>
      </c>
    </row>
    <row r="30" spans="1:80" ht="14.25" customHeight="1">
      <c r="A30" s="47">
        <v>23</v>
      </c>
      <c r="B30" s="47" t="s">
        <v>129</v>
      </c>
      <c r="C30" s="48">
        <v>110001</v>
      </c>
      <c r="D30" s="49" t="s">
        <v>156</v>
      </c>
      <c r="E30" s="49" t="s">
        <v>157</v>
      </c>
      <c r="F30" s="50">
        <f t="shared" si="13"/>
        <v>304</v>
      </c>
      <c r="G30" s="50">
        <v>272</v>
      </c>
      <c r="H30" s="50">
        <v>23</v>
      </c>
      <c r="I30" s="50">
        <v>9</v>
      </c>
      <c r="J30" s="50"/>
      <c r="K30" s="50"/>
      <c r="L30" s="50"/>
      <c r="M30" s="50"/>
      <c r="N30" s="50">
        <v>90</v>
      </c>
      <c r="O30" s="50">
        <f t="shared" si="14"/>
        <v>394</v>
      </c>
      <c r="P30" s="51">
        <f t="shared" si="0"/>
        <v>9987.6886000000013</v>
      </c>
      <c r="Q30" s="51">
        <f t="shared" si="1"/>
        <v>7539.3486000000003</v>
      </c>
      <c r="R30" s="47">
        <f t="shared" si="15"/>
        <v>1341403</v>
      </c>
      <c r="S30" s="58">
        <v>1311439</v>
      </c>
      <c r="T30" s="51">
        <v>29964</v>
      </c>
      <c r="U30" s="47">
        <f t="shared" si="16"/>
        <v>1609.6836000000001</v>
      </c>
      <c r="V30" s="51">
        <f t="shared" si="2"/>
        <v>1374.99</v>
      </c>
      <c r="W30" s="47">
        <f t="shared" si="17"/>
        <v>663.75</v>
      </c>
      <c r="X30" s="47">
        <v>97.68</v>
      </c>
      <c r="Y30" s="47"/>
      <c r="Z30" s="47"/>
      <c r="AA30" s="47">
        <v>613.55999999999995</v>
      </c>
      <c r="AB30" s="51">
        <f t="shared" si="18"/>
        <v>674.68689999999992</v>
      </c>
      <c r="AC30" s="47">
        <v>103.0609</v>
      </c>
      <c r="AD30" s="47">
        <v>40.7712</v>
      </c>
      <c r="AE30" s="47"/>
      <c r="AF30" s="47">
        <f t="shared" si="20"/>
        <v>530.85479999999995</v>
      </c>
      <c r="AG30" s="47">
        <v>442379</v>
      </c>
      <c r="AH30" s="47"/>
      <c r="AI30" s="47">
        <f t="shared" si="21"/>
        <v>23.31</v>
      </c>
      <c r="AJ30" s="53">
        <f t="shared" si="22"/>
        <v>468.90550000000002</v>
      </c>
      <c r="AK30" s="53">
        <f t="shared" si="23"/>
        <v>4689055</v>
      </c>
      <c r="AL30" s="47"/>
      <c r="AM30" s="47">
        <f t="shared" si="3"/>
        <v>195.8982</v>
      </c>
      <c r="AN30" s="47">
        <f t="shared" si="4"/>
        <v>184.4145</v>
      </c>
      <c r="AO30" s="47">
        <f t="shared" si="24"/>
        <v>1844145</v>
      </c>
      <c r="AP30" s="47">
        <f t="shared" si="5"/>
        <v>11.483700000000001</v>
      </c>
      <c r="AQ30" s="47">
        <f t="shared" si="25"/>
        <v>114837</v>
      </c>
      <c r="AR30" s="47"/>
      <c r="AS30" s="47">
        <f t="shared" si="26"/>
        <v>14.1953</v>
      </c>
      <c r="AT30" s="47">
        <f t="shared" si="6"/>
        <v>13.7805</v>
      </c>
      <c r="AU30" s="47">
        <f t="shared" si="27"/>
        <v>137805</v>
      </c>
      <c r="AV30" s="47">
        <f t="shared" si="7"/>
        <v>0.41489999999999999</v>
      </c>
      <c r="AW30" s="47">
        <f t="shared" si="28"/>
        <v>4149</v>
      </c>
      <c r="AX30" s="47">
        <f t="shared" si="8"/>
        <v>351.67910000000001</v>
      </c>
      <c r="AY30" s="47"/>
      <c r="AZ30" s="47">
        <v>2826</v>
      </c>
      <c r="BA30" s="54">
        <v>1E-4</v>
      </c>
      <c r="BB30" s="55" t="s">
        <v>156</v>
      </c>
      <c r="BC30" s="51">
        <f t="shared" si="29"/>
        <v>2245.0240000000003</v>
      </c>
      <c r="BD30" s="47">
        <f>3*(G30+H30)+0.96*(I30+J30)</f>
        <v>893.64</v>
      </c>
      <c r="BE30" s="47">
        <f t="shared" si="30"/>
        <v>227.184</v>
      </c>
      <c r="BF30" s="47">
        <v>189320</v>
      </c>
      <c r="BG30" s="56">
        <v>305</v>
      </c>
      <c r="BH30" s="47">
        <v>819.2</v>
      </c>
      <c r="BI30" s="51">
        <f t="shared" si="10"/>
        <v>203.316</v>
      </c>
      <c r="BJ30" s="51">
        <f t="shared" si="11"/>
        <v>0</v>
      </c>
      <c r="BK30" s="47"/>
      <c r="BL30" s="47"/>
      <c r="BM30" s="47"/>
      <c r="BN30" s="47"/>
      <c r="BO30" s="47"/>
      <c r="BP30" s="47">
        <v>26.756</v>
      </c>
      <c r="BQ30" s="47"/>
      <c r="BR30" s="47"/>
      <c r="BS30" s="53"/>
      <c r="BT30" s="47"/>
      <c r="BU30" s="47"/>
      <c r="BV30" s="47"/>
      <c r="BW30" s="47">
        <v>176.56</v>
      </c>
      <c r="BX30" s="47"/>
      <c r="BY30" s="47"/>
      <c r="BZ30" s="47"/>
      <c r="CA30" s="47"/>
      <c r="CB30" s="54">
        <f t="shared" si="12"/>
        <v>9987.6886000000013</v>
      </c>
    </row>
    <row r="31" spans="1:80" ht="14.25" customHeight="1">
      <c r="A31" s="47">
        <v>24</v>
      </c>
      <c r="B31" s="47" t="s">
        <v>129</v>
      </c>
      <c r="C31" s="48">
        <v>132001</v>
      </c>
      <c r="D31" s="49" t="s">
        <v>158</v>
      </c>
      <c r="E31" s="49" t="s">
        <v>157</v>
      </c>
      <c r="F31" s="50">
        <f t="shared" si="13"/>
        <v>24</v>
      </c>
      <c r="G31" s="50">
        <v>22</v>
      </c>
      <c r="H31" s="50">
        <v>2</v>
      </c>
      <c r="I31" s="50"/>
      <c r="J31" s="50"/>
      <c r="K31" s="50"/>
      <c r="L31" s="50"/>
      <c r="M31" s="50"/>
      <c r="N31" s="50">
        <v>5</v>
      </c>
      <c r="O31" s="50">
        <f t="shared" si="14"/>
        <v>29</v>
      </c>
      <c r="P31" s="51">
        <f t="shared" si="0"/>
        <v>506.14860000000004</v>
      </c>
      <c r="Q31" s="51">
        <f t="shared" si="1"/>
        <v>377.14060000000001</v>
      </c>
      <c r="R31" s="47">
        <f t="shared" si="15"/>
        <v>107063</v>
      </c>
      <c r="S31" s="58">
        <v>107063</v>
      </c>
      <c r="T31" s="51"/>
      <c r="U31" s="47">
        <f t="shared" si="16"/>
        <v>128.47559999999999</v>
      </c>
      <c r="V31" s="51">
        <f t="shared" si="2"/>
        <v>112.68</v>
      </c>
      <c r="W31" s="47">
        <f t="shared" si="17"/>
        <v>54</v>
      </c>
      <c r="X31" s="47">
        <v>6.5519999999999996</v>
      </c>
      <c r="Y31" s="47"/>
      <c r="Z31" s="47"/>
      <c r="AA31" s="47">
        <v>52.128</v>
      </c>
      <c r="AB31" s="51">
        <f t="shared" si="18"/>
        <v>53.863500000000002</v>
      </c>
      <c r="AC31" s="47">
        <v>8.5203000000000007</v>
      </c>
      <c r="AD31" s="47">
        <v>2.4864000000000002</v>
      </c>
      <c r="AE31" s="47"/>
      <c r="AF31" s="47">
        <f t="shared" si="20"/>
        <v>42.8568</v>
      </c>
      <c r="AG31" s="47">
        <v>35714</v>
      </c>
      <c r="AH31" s="47"/>
      <c r="AI31" s="47">
        <f t="shared" si="21"/>
        <v>0</v>
      </c>
      <c r="AJ31" s="53">
        <f t="shared" si="22"/>
        <v>37.416400000000003</v>
      </c>
      <c r="AK31" s="53">
        <f t="shared" si="23"/>
        <v>374164.00000000006</v>
      </c>
      <c r="AL31" s="47"/>
      <c r="AM31" s="47">
        <f t="shared" si="3"/>
        <v>15.5479</v>
      </c>
      <c r="AN31" s="47">
        <f t="shared" si="4"/>
        <v>14.6355</v>
      </c>
      <c r="AO31" s="47">
        <f t="shared" si="24"/>
        <v>146355</v>
      </c>
      <c r="AP31" s="47">
        <f t="shared" si="5"/>
        <v>0.91239999999999999</v>
      </c>
      <c r="AQ31" s="47">
        <f t="shared" si="25"/>
        <v>9124</v>
      </c>
      <c r="AR31" s="47"/>
      <c r="AS31" s="47">
        <f t="shared" si="26"/>
        <v>1.0949</v>
      </c>
      <c r="AT31" s="47">
        <f t="shared" si="6"/>
        <v>1.0949</v>
      </c>
      <c r="AU31" s="47">
        <f t="shared" si="27"/>
        <v>10949</v>
      </c>
      <c r="AV31" s="47">
        <f t="shared" si="7"/>
        <v>0</v>
      </c>
      <c r="AW31" s="47">
        <f t="shared" si="28"/>
        <v>0</v>
      </c>
      <c r="AX31" s="47">
        <f t="shared" si="8"/>
        <v>28.0623</v>
      </c>
      <c r="AY31" s="47"/>
      <c r="AZ31" s="47"/>
      <c r="BA31" s="54">
        <v>1E-4</v>
      </c>
      <c r="BB31" s="55" t="s">
        <v>158</v>
      </c>
      <c r="BC31" s="51">
        <f t="shared" si="29"/>
        <v>127.01599999999999</v>
      </c>
      <c r="BD31" s="47">
        <f t="shared" ref="BD31:BD32" si="31">3*(G31+H31)+0.96*(I31+J31)</f>
        <v>72</v>
      </c>
      <c r="BE31" s="47">
        <f t="shared" si="30"/>
        <v>18.515999999999998</v>
      </c>
      <c r="BF31" s="47">
        <v>15430</v>
      </c>
      <c r="BG31" s="56">
        <v>14</v>
      </c>
      <c r="BH31" s="47">
        <v>22.5</v>
      </c>
      <c r="BI31" s="51">
        <f t="shared" si="10"/>
        <v>1.992</v>
      </c>
      <c r="BJ31" s="51">
        <f t="shared" si="11"/>
        <v>0</v>
      </c>
      <c r="BK31" s="47"/>
      <c r="BL31" s="47"/>
      <c r="BM31" s="47"/>
      <c r="BN31" s="47"/>
      <c r="BO31" s="47"/>
      <c r="BP31" s="47">
        <v>1.992</v>
      </c>
      <c r="BQ31" s="47"/>
      <c r="BR31" s="47"/>
      <c r="BS31" s="53"/>
      <c r="BT31" s="47"/>
      <c r="BU31" s="47"/>
      <c r="BV31" s="47"/>
      <c r="BW31" s="47"/>
      <c r="BX31" s="47"/>
      <c r="BY31" s="47"/>
      <c r="BZ31" s="47"/>
      <c r="CA31" s="47"/>
      <c r="CB31" s="54">
        <f t="shared" si="12"/>
        <v>506.14860000000004</v>
      </c>
    </row>
    <row r="32" spans="1:80" ht="14.25" customHeight="1">
      <c r="A32" s="47">
        <v>25</v>
      </c>
      <c r="B32" s="47" t="s">
        <v>129</v>
      </c>
      <c r="C32" s="48">
        <v>112001</v>
      </c>
      <c r="D32" s="49" t="s">
        <v>159</v>
      </c>
      <c r="E32" s="49" t="s">
        <v>157</v>
      </c>
      <c r="F32" s="50">
        <f t="shared" si="13"/>
        <v>91</v>
      </c>
      <c r="G32" s="50">
        <v>62</v>
      </c>
      <c r="H32" s="50">
        <v>29</v>
      </c>
      <c r="I32" s="50"/>
      <c r="J32" s="50"/>
      <c r="K32" s="50"/>
      <c r="L32" s="50"/>
      <c r="M32" s="50"/>
      <c r="N32" s="50">
        <v>9</v>
      </c>
      <c r="O32" s="50">
        <f t="shared" si="14"/>
        <v>100</v>
      </c>
      <c r="P32" s="51">
        <f t="shared" si="0"/>
        <v>2653.7665000000002</v>
      </c>
      <c r="Q32" s="51">
        <f t="shared" si="1"/>
        <v>1766.5265000000002</v>
      </c>
      <c r="R32" s="47">
        <f t="shared" si="15"/>
        <v>387924</v>
      </c>
      <c r="S32" s="58">
        <v>387924</v>
      </c>
      <c r="T32" s="51"/>
      <c r="U32" s="47">
        <f t="shared" si="16"/>
        <v>465.50880000000001</v>
      </c>
      <c r="V32" s="51">
        <f t="shared" si="2"/>
        <v>441.13799999999998</v>
      </c>
      <c r="W32" s="47">
        <f t="shared" si="17"/>
        <v>204.75</v>
      </c>
      <c r="X32" s="47">
        <v>38.735999999999997</v>
      </c>
      <c r="Y32" s="47"/>
      <c r="Z32" s="47"/>
      <c r="AA32" s="47">
        <v>197.65199999999999</v>
      </c>
      <c r="AB32" s="51">
        <f t="shared" si="18"/>
        <v>198.95839999999998</v>
      </c>
      <c r="AC32" s="47">
        <v>32.032400000000003</v>
      </c>
      <c r="AD32" s="47">
        <v>12.573600000000001</v>
      </c>
      <c r="AE32" s="47"/>
      <c r="AF32" s="47">
        <f t="shared" si="20"/>
        <v>154.35239999999999</v>
      </c>
      <c r="AG32" s="47">
        <v>128627</v>
      </c>
      <c r="AH32" s="47"/>
      <c r="AI32" s="47">
        <f t="shared" si="21"/>
        <v>0</v>
      </c>
      <c r="AJ32" s="53">
        <f t="shared" si="22"/>
        <v>137.06299999999999</v>
      </c>
      <c r="AK32" s="53">
        <f t="shared" si="23"/>
        <v>1370629.9999999998</v>
      </c>
      <c r="AL32" s="47"/>
      <c r="AM32" s="47">
        <f t="shared" si="3"/>
        <v>57.039499999999997</v>
      </c>
      <c r="AN32" s="47">
        <f t="shared" si="4"/>
        <v>53.688200000000002</v>
      </c>
      <c r="AO32" s="47">
        <f t="shared" si="24"/>
        <v>536882</v>
      </c>
      <c r="AP32" s="47">
        <f t="shared" si="5"/>
        <v>3.3513000000000002</v>
      </c>
      <c r="AQ32" s="47">
        <f t="shared" si="25"/>
        <v>33513</v>
      </c>
      <c r="AR32" s="47"/>
      <c r="AS32" s="47">
        <f t="shared" si="26"/>
        <v>4.0216000000000003</v>
      </c>
      <c r="AT32" s="47">
        <f t="shared" si="6"/>
        <v>4.0216000000000003</v>
      </c>
      <c r="AU32" s="47">
        <f t="shared" si="27"/>
        <v>40216</v>
      </c>
      <c r="AV32" s="47">
        <f t="shared" si="7"/>
        <v>0</v>
      </c>
      <c r="AW32" s="47">
        <f t="shared" si="28"/>
        <v>0</v>
      </c>
      <c r="AX32" s="47">
        <f t="shared" si="8"/>
        <v>102.7972</v>
      </c>
      <c r="AY32" s="47"/>
      <c r="AZ32" s="47">
        <v>360</v>
      </c>
      <c r="BA32" s="54">
        <v>1E-4</v>
      </c>
      <c r="BB32" s="55" t="s">
        <v>159</v>
      </c>
      <c r="BC32" s="51">
        <f t="shared" si="29"/>
        <v>887.24</v>
      </c>
      <c r="BD32" s="47">
        <f t="shared" si="31"/>
        <v>273</v>
      </c>
      <c r="BE32" s="47">
        <f t="shared" si="30"/>
        <v>66.239999999999995</v>
      </c>
      <c r="BF32" s="47">
        <v>55200</v>
      </c>
      <c r="BG32" s="56">
        <v>132</v>
      </c>
      <c r="BH32" s="47">
        <v>416</v>
      </c>
      <c r="BI32" s="51">
        <f t="shared" si="10"/>
        <v>0</v>
      </c>
      <c r="BJ32" s="51">
        <f t="shared" si="11"/>
        <v>0</v>
      </c>
      <c r="BK32" s="47"/>
      <c r="BL32" s="47"/>
      <c r="BM32" s="47"/>
      <c r="BN32" s="47"/>
      <c r="BO32" s="47"/>
      <c r="BP32" s="47"/>
      <c r="BQ32" s="47"/>
      <c r="BR32" s="47"/>
      <c r="BS32" s="53"/>
      <c r="BT32" s="47"/>
      <c r="BU32" s="47"/>
      <c r="BV32" s="47"/>
      <c r="BW32" s="47"/>
      <c r="BX32" s="47"/>
      <c r="BY32" s="47"/>
      <c r="BZ32" s="47"/>
      <c r="CA32" s="47"/>
      <c r="CB32" s="54">
        <f t="shared" si="12"/>
        <v>2653.7665000000002</v>
      </c>
    </row>
    <row r="33" spans="1:80" ht="14.25" customHeight="1">
      <c r="A33" s="47">
        <v>26</v>
      </c>
      <c r="B33" s="47" t="s">
        <v>129</v>
      </c>
      <c r="C33" s="48">
        <v>111001</v>
      </c>
      <c r="D33" s="49" t="s">
        <v>160</v>
      </c>
      <c r="E33" s="49" t="s">
        <v>131</v>
      </c>
      <c r="F33" s="50">
        <f t="shared" si="13"/>
        <v>77</v>
      </c>
      <c r="G33" s="50">
        <v>45</v>
      </c>
      <c r="H33" s="50">
        <v>20</v>
      </c>
      <c r="I33" s="50">
        <v>12</v>
      </c>
      <c r="J33" s="50"/>
      <c r="K33" s="50"/>
      <c r="L33" s="50">
        <v>3</v>
      </c>
      <c r="M33" s="50"/>
      <c r="N33" s="50">
        <v>13</v>
      </c>
      <c r="O33" s="50">
        <f t="shared" si="14"/>
        <v>93</v>
      </c>
      <c r="P33" s="51">
        <f t="shared" si="0"/>
        <v>1176.6955</v>
      </c>
      <c r="Q33" s="51">
        <f t="shared" si="1"/>
        <v>959.1155</v>
      </c>
      <c r="R33" s="47">
        <f t="shared" si="15"/>
        <v>245229</v>
      </c>
      <c r="S33" s="58">
        <v>213449</v>
      </c>
      <c r="T33" s="51">
        <f>38134-6354</f>
        <v>31780</v>
      </c>
      <c r="U33" s="47">
        <f>ROUND(R33*12/10000,5)+2*L33</f>
        <v>300.27480000000003</v>
      </c>
      <c r="V33" s="51">
        <f t="shared" si="2"/>
        <v>255.54599999999999</v>
      </c>
      <c r="W33" s="47">
        <f t="shared" si="17"/>
        <v>146.25</v>
      </c>
      <c r="X33" s="47">
        <v>44.496000000000002</v>
      </c>
      <c r="Y33" s="47"/>
      <c r="Z33" s="47"/>
      <c r="AA33" s="47">
        <v>64.8</v>
      </c>
      <c r="AB33" s="51">
        <f t="shared" si="18"/>
        <v>153.15289999999999</v>
      </c>
      <c r="AC33" s="47">
        <f t="shared" si="19"/>
        <v>21.344899999999999</v>
      </c>
      <c r="AD33" s="47">
        <v>8.8439999999999994</v>
      </c>
      <c r="AE33" s="47"/>
      <c r="AF33" s="47">
        <f t="shared" si="20"/>
        <v>122.964</v>
      </c>
      <c r="AG33" s="47">
        <v>102470</v>
      </c>
      <c r="AH33" s="47"/>
      <c r="AI33" s="47">
        <f>ROUND(2.59*(I33+J33+K33),4)+L33*2.59*0.4</f>
        <v>34.187999999999995</v>
      </c>
      <c r="AJ33" s="53">
        <f>ROUND((U33+W33+AC33+AE33+AF33+AI33-2.59*3*0.4-6)*0.16,4)</f>
        <v>98.546199999999999</v>
      </c>
      <c r="AK33" s="53">
        <f t="shared" si="23"/>
        <v>985462</v>
      </c>
      <c r="AL33" s="47"/>
      <c r="AM33" s="47">
        <f>ROUND(((U33+W33+AI33-6-3*2.59*0.4)*0.085+N33*0.0075),4)</f>
        <v>40.183900000000001</v>
      </c>
      <c r="AN33" s="47">
        <f>ROUND(((U33+W33+AI33-6-2.59*3*0.4)*0.08+N33*0.0075),4)</f>
        <v>37.825899999999997</v>
      </c>
      <c r="AO33" s="47">
        <f t="shared" si="24"/>
        <v>378259</v>
      </c>
      <c r="AP33" s="47">
        <f>ROUND(((U33+W33+AI33-6-2.59*3*0.4)*0.005),4)</f>
        <v>2.3580000000000001</v>
      </c>
      <c r="AQ33" s="47">
        <f t="shared" si="25"/>
        <v>23580</v>
      </c>
      <c r="AR33" s="47"/>
      <c r="AS33" s="47">
        <f>ROUND(((T33*12/10000+AI33-3*2.59*0.4)*0.007+(U33+W33+AI33-6-3*2.59*0.4)*0.006),4)</f>
        <v>3.3140999999999998</v>
      </c>
      <c r="AT33" s="47">
        <f>ROUND(((U33+W33+AI33-6-2.59*3*0.4)*0.006),4)</f>
        <v>2.8296000000000001</v>
      </c>
      <c r="AU33" s="47">
        <f t="shared" si="27"/>
        <v>28296</v>
      </c>
      <c r="AV33" s="47">
        <f>ROUND(((T33*12/10000+AI33-2.59*3*0.4)*0.007),4)</f>
        <v>0.48449999999999999</v>
      </c>
      <c r="AW33" s="47">
        <f t="shared" si="28"/>
        <v>4845</v>
      </c>
      <c r="AX33" s="47">
        <f>ROUND((U33+W33+AC33+AE33+AF33+AI33-2.59*3*0.4-6)*0.12,4)</f>
        <v>73.909599999999998</v>
      </c>
      <c r="AY33" s="47"/>
      <c r="AZ33" s="47"/>
      <c r="BA33" s="54">
        <v>1E-4</v>
      </c>
      <c r="BB33" s="55" t="s">
        <v>160</v>
      </c>
      <c r="BC33" s="51">
        <f t="shared" si="29"/>
        <v>214.43599999999998</v>
      </c>
      <c r="BD33" s="47">
        <f t="shared" ref="BD33:BD96" si="32">1.2*(G33+H33)+0.96*(I33+J33)</f>
        <v>89.52</v>
      </c>
      <c r="BE33" s="47">
        <f t="shared" si="30"/>
        <v>44.915999999999997</v>
      </c>
      <c r="BF33" s="47">
        <v>37430</v>
      </c>
      <c r="BG33" s="56">
        <v>80</v>
      </c>
      <c r="BH33" s="47"/>
      <c r="BI33" s="51">
        <f t="shared" si="10"/>
        <v>3.1440000000000001</v>
      </c>
      <c r="BJ33" s="51">
        <f t="shared" si="11"/>
        <v>0</v>
      </c>
      <c r="BK33" s="47"/>
      <c r="BL33" s="47"/>
      <c r="BM33" s="47"/>
      <c r="BN33" s="47"/>
      <c r="BO33" s="47"/>
      <c r="BP33" s="47">
        <v>3.1440000000000001</v>
      </c>
      <c r="BQ33" s="47"/>
      <c r="BR33" s="47"/>
      <c r="BS33" s="53"/>
      <c r="BT33" s="47"/>
      <c r="BU33" s="47"/>
      <c r="BV33" s="47"/>
      <c r="BW33" s="47"/>
      <c r="BX33" s="47"/>
      <c r="BY33" s="47"/>
      <c r="BZ33" s="47"/>
      <c r="CA33" s="47"/>
      <c r="CB33" s="54">
        <f t="shared" si="12"/>
        <v>1176.6955</v>
      </c>
    </row>
    <row r="34" spans="1:80" ht="14.25" customHeight="1">
      <c r="A34" s="47">
        <v>27</v>
      </c>
      <c r="B34" s="47" t="s">
        <v>129</v>
      </c>
      <c r="C34" s="48">
        <v>125001</v>
      </c>
      <c r="D34" s="49" t="s">
        <v>161</v>
      </c>
      <c r="E34" s="49" t="s">
        <v>131</v>
      </c>
      <c r="F34" s="50">
        <f t="shared" si="13"/>
        <v>136</v>
      </c>
      <c r="G34" s="50">
        <v>83</v>
      </c>
      <c r="H34" s="50">
        <v>8</v>
      </c>
      <c r="I34" s="50">
        <v>31</v>
      </c>
      <c r="J34" s="50">
        <v>14</v>
      </c>
      <c r="K34" s="50"/>
      <c r="L34" s="50"/>
      <c r="M34" s="50"/>
      <c r="N34" s="50">
        <v>94</v>
      </c>
      <c r="O34" s="50">
        <f t="shared" si="14"/>
        <v>230</v>
      </c>
      <c r="P34" s="51">
        <f t="shared" si="0"/>
        <v>2118.2518000000005</v>
      </c>
      <c r="Q34" s="51">
        <f t="shared" si="1"/>
        <v>1676.1918000000003</v>
      </c>
      <c r="R34" s="47">
        <f t="shared" si="15"/>
        <v>473497</v>
      </c>
      <c r="S34" s="58">
        <v>331713</v>
      </c>
      <c r="T34" s="51">
        <v>141784</v>
      </c>
      <c r="U34" s="47">
        <f t="shared" si="16"/>
        <v>568.19640000000004</v>
      </c>
      <c r="V34" s="51">
        <f t="shared" si="2"/>
        <v>246.078</v>
      </c>
      <c r="W34" s="47">
        <f t="shared" si="17"/>
        <v>204.75</v>
      </c>
      <c r="X34" s="47">
        <v>41.328000000000003</v>
      </c>
      <c r="Y34" s="47"/>
      <c r="Z34" s="47"/>
      <c r="AA34" s="47"/>
      <c r="AB34" s="51">
        <f t="shared" si="18"/>
        <v>262.77690000000001</v>
      </c>
      <c r="AC34" s="47">
        <f t="shared" si="19"/>
        <v>33.171300000000002</v>
      </c>
      <c r="AD34" s="47">
        <v>13.2216</v>
      </c>
      <c r="AE34" s="47"/>
      <c r="AF34" s="47">
        <f t="shared" si="20"/>
        <v>216.38399999999999</v>
      </c>
      <c r="AG34" s="47">
        <v>180320</v>
      </c>
      <c r="AH34" s="47"/>
      <c r="AI34" s="47">
        <f t="shared" si="21"/>
        <v>116.55</v>
      </c>
      <c r="AJ34" s="53">
        <f t="shared" si="22"/>
        <v>182.2483</v>
      </c>
      <c r="AK34" s="53">
        <f t="shared" si="23"/>
        <v>1822483</v>
      </c>
      <c r="AL34" s="47"/>
      <c r="AM34" s="47">
        <f t="shared" si="3"/>
        <v>76.312200000000004</v>
      </c>
      <c r="AN34" s="47">
        <f t="shared" si="4"/>
        <v>71.864699999999999</v>
      </c>
      <c r="AO34" s="47">
        <f t="shared" si="24"/>
        <v>718647</v>
      </c>
      <c r="AP34" s="47">
        <f t="shared" si="5"/>
        <v>4.4474999999999998</v>
      </c>
      <c r="AQ34" s="47">
        <f t="shared" si="25"/>
        <v>44475</v>
      </c>
      <c r="AR34" s="47"/>
      <c r="AS34" s="47">
        <f t="shared" si="26"/>
        <v>7.3437999999999999</v>
      </c>
      <c r="AT34" s="47">
        <f t="shared" si="6"/>
        <v>5.3369999999999997</v>
      </c>
      <c r="AU34" s="47">
        <f t="shared" si="27"/>
        <v>53370</v>
      </c>
      <c r="AV34" s="47">
        <f t="shared" si="7"/>
        <v>2.0068000000000001</v>
      </c>
      <c r="AW34" s="47">
        <f t="shared" si="28"/>
        <v>20068</v>
      </c>
      <c r="AX34" s="47">
        <f t="shared" si="8"/>
        <v>136.68620000000001</v>
      </c>
      <c r="AY34" s="47"/>
      <c r="AZ34" s="47">
        <v>80</v>
      </c>
      <c r="BA34" s="54">
        <v>1E-4</v>
      </c>
      <c r="BB34" s="55" t="s">
        <v>161</v>
      </c>
      <c r="BC34" s="51">
        <f t="shared" si="29"/>
        <v>428.06799999999998</v>
      </c>
      <c r="BD34" s="47">
        <f t="shared" si="32"/>
        <v>152.4</v>
      </c>
      <c r="BE34" s="47">
        <f t="shared" si="30"/>
        <v>64.668000000000006</v>
      </c>
      <c r="BF34" s="47">
        <v>53890</v>
      </c>
      <c r="BG34" s="56">
        <v>121</v>
      </c>
      <c r="BH34" s="47">
        <v>90</v>
      </c>
      <c r="BI34" s="51">
        <f t="shared" si="10"/>
        <v>13.992000000000001</v>
      </c>
      <c r="BJ34" s="51">
        <f t="shared" si="11"/>
        <v>0</v>
      </c>
      <c r="BK34" s="47"/>
      <c r="BL34" s="47"/>
      <c r="BM34" s="47"/>
      <c r="BN34" s="47"/>
      <c r="BO34" s="47"/>
      <c r="BP34" s="47">
        <v>13.992000000000001</v>
      </c>
      <c r="BQ34" s="47"/>
      <c r="BR34" s="47"/>
      <c r="BS34" s="53"/>
      <c r="BT34" s="47"/>
      <c r="BU34" s="47"/>
      <c r="BV34" s="47"/>
      <c r="BW34" s="47"/>
      <c r="BX34" s="47"/>
      <c r="BY34" s="47"/>
      <c r="BZ34" s="47"/>
      <c r="CA34" s="47"/>
      <c r="CB34" s="54">
        <f t="shared" si="12"/>
        <v>2118.2518000000005</v>
      </c>
    </row>
    <row r="35" spans="1:80" ht="14.25" customHeight="1">
      <c r="A35" s="47">
        <v>28</v>
      </c>
      <c r="B35" s="47" t="s">
        <v>129</v>
      </c>
      <c r="C35" s="48">
        <v>101003</v>
      </c>
      <c r="D35" s="49" t="s">
        <v>162</v>
      </c>
      <c r="E35" s="49" t="s">
        <v>131</v>
      </c>
      <c r="F35" s="50">
        <f t="shared" si="13"/>
        <v>8</v>
      </c>
      <c r="G35" s="50">
        <v>6</v>
      </c>
      <c r="H35" s="50"/>
      <c r="I35" s="50">
        <v>2</v>
      </c>
      <c r="J35" s="50"/>
      <c r="K35" s="50"/>
      <c r="L35" s="50"/>
      <c r="M35" s="50"/>
      <c r="N35" s="50"/>
      <c r="O35" s="50">
        <f t="shared" si="14"/>
        <v>8</v>
      </c>
      <c r="P35" s="51">
        <f t="shared" si="0"/>
        <v>164.38489999999999</v>
      </c>
      <c r="Q35" s="51">
        <f t="shared" si="1"/>
        <v>113.00489999999999</v>
      </c>
      <c r="R35" s="47">
        <f t="shared" si="15"/>
        <v>23708</v>
      </c>
      <c r="S35" s="58">
        <v>18386</v>
      </c>
      <c r="T35" s="51">
        <v>5322</v>
      </c>
      <c r="U35" s="47">
        <f t="shared" si="16"/>
        <v>28.4496</v>
      </c>
      <c r="V35" s="51">
        <f t="shared" si="2"/>
        <v>13.5</v>
      </c>
      <c r="W35" s="47">
        <f t="shared" si="17"/>
        <v>13.5</v>
      </c>
      <c r="X35" s="47"/>
      <c r="Y35" s="47"/>
      <c r="Z35" s="47"/>
      <c r="AA35" s="47"/>
      <c r="AB35" s="51">
        <f t="shared" si="18"/>
        <v>15.0854</v>
      </c>
      <c r="AC35" s="47">
        <f t="shared" si="19"/>
        <v>1.8386</v>
      </c>
      <c r="AD35" s="47"/>
      <c r="AE35" s="47"/>
      <c r="AF35" s="47">
        <f t="shared" si="20"/>
        <v>13.2468</v>
      </c>
      <c r="AG35" s="47">
        <v>11039</v>
      </c>
      <c r="AH35" s="47"/>
      <c r="AI35" s="47">
        <f t="shared" si="21"/>
        <v>5.18</v>
      </c>
      <c r="AJ35" s="53">
        <f t="shared" si="22"/>
        <v>9.9543999999999997</v>
      </c>
      <c r="AK35" s="53">
        <f t="shared" si="23"/>
        <v>99544</v>
      </c>
      <c r="AL35" s="47"/>
      <c r="AM35" s="47">
        <f t="shared" si="3"/>
        <v>4.0060000000000002</v>
      </c>
      <c r="AN35" s="47">
        <f t="shared" si="4"/>
        <v>3.7704</v>
      </c>
      <c r="AO35" s="47">
        <f t="shared" si="24"/>
        <v>37704</v>
      </c>
      <c r="AP35" s="47">
        <f t="shared" si="5"/>
        <v>0.2356</v>
      </c>
      <c r="AQ35" s="47">
        <f t="shared" si="25"/>
        <v>2356</v>
      </c>
      <c r="AR35" s="47"/>
      <c r="AS35" s="47">
        <f t="shared" si="26"/>
        <v>0.36370000000000002</v>
      </c>
      <c r="AT35" s="47">
        <f t="shared" si="6"/>
        <v>0.2828</v>
      </c>
      <c r="AU35" s="47">
        <f t="shared" si="27"/>
        <v>2828</v>
      </c>
      <c r="AV35" s="47">
        <f t="shared" si="7"/>
        <v>8.1000000000000003E-2</v>
      </c>
      <c r="AW35" s="47">
        <f t="shared" si="28"/>
        <v>810</v>
      </c>
      <c r="AX35" s="47">
        <f t="shared" si="8"/>
        <v>7.4657999999999998</v>
      </c>
      <c r="AY35" s="47"/>
      <c r="AZ35" s="47">
        <v>29</v>
      </c>
      <c r="BA35" s="54">
        <v>1E-4</v>
      </c>
      <c r="BB35" s="55" t="s">
        <v>162</v>
      </c>
      <c r="BC35" s="51">
        <f t="shared" si="29"/>
        <v>51.379999999999995</v>
      </c>
      <c r="BD35" s="47">
        <f t="shared" si="32"/>
        <v>9.1199999999999992</v>
      </c>
      <c r="BE35" s="47">
        <f t="shared" si="30"/>
        <v>4.26</v>
      </c>
      <c r="BF35" s="47">
        <v>3550</v>
      </c>
      <c r="BG35" s="56">
        <v>38</v>
      </c>
      <c r="BH35" s="47"/>
      <c r="BI35" s="51">
        <f t="shared" si="10"/>
        <v>0</v>
      </c>
      <c r="BJ35" s="51">
        <f t="shared" si="11"/>
        <v>0</v>
      </c>
      <c r="BK35" s="47"/>
      <c r="BL35" s="47"/>
      <c r="BM35" s="47"/>
      <c r="BN35" s="47"/>
      <c r="BO35" s="47"/>
      <c r="BP35" s="47"/>
      <c r="BQ35" s="47"/>
      <c r="BR35" s="47"/>
      <c r="BS35" s="53"/>
      <c r="BT35" s="47"/>
      <c r="BU35" s="47"/>
      <c r="BV35" s="47"/>
      <c r="BW35" s="47"/>
      <c r="BX35" s="47"/>
      <c r="BY35" s="47"/>
      <c r="BZ35" s="47"/>
      <c r="CA35" s="47"/>
      <c r="CB35" s="54">
        <f t="shared" si="12"/>
        <v>164.38489999999999</v>
      </c>
    </row>
    <row r="36" spans="1:80" ht="14.25" customHeight="1">
      <c r="A36" s="47">
        <v>29</v>
      </c>
      <c r="B36" s="47" t="s">
        <v>129</v>
      </c>
      <c r="C36" s="48">
        <v>101002</v>
      </c>
      <c r="D36" s="49" t="s">
        <v>163</v>
      </c>
      <c r="E36" s="49" t="s">
        <v>150</v>
      </c>
      <c r="F36" s="50">
        <f t="shared" si="13"/>
        <v>14</v>
      </c>
      <c r="G36" s="50"/>
      <c r="H36" s="50"/>
      <c r="I36" s="50">
        <v>14</v>
      </c>
      <c r="J36" s="50"/>
      <c r="K36" s="50"/>
      <c r="L36" s="50"/>
      <c r="M36" s="50"/>
      <c r="N36" s="50"/>
      <c r="O36" s="50">
        <f t="shared" si="14"/>
        <v>14</v>
      </c>
      <c r="P36" s="51">
        <f t="shared" si="0"/>
        <v>199.53609999999998</v>
      </c>
      <c r="Q36" s="51">
        <f t="shared" si="1"/>
        <v>140.09609999999998</v>
      </c>
      <c r="R36" s="47">
        <f t="shared" si="15"/>
        <v>38900</v>
      </c>
      <c r="S36" s="58"/>
      <c r="T36" s="51">
        <v>38900</v>
      </c>
      <c r="U36" s="47">
        <f t="shared" si="16"/>
        <v>46.68</v>
      </c>
      <c r="V36" s="51">
        <f t="shared" si="2"/>
        <v>0</v>
      </c>
      <c r="W36" s="47">
        <f t="shared" si="17"/>
        <v>0</v>
      </c>
      <c r="X36" s="47"/>
      <c r="Y36" s="47"/>
      <c r="Z36" s="47"/>
      <c r="AA36" s="47"/>
      <c r="AB36" s="51">
        <f t="shared" si="18"/>
        <v>20.16</v>
      </c>
      <c r="AC36" s="47">
        <f t="shared" si="19"/>
        <v>0</v>
      </c>
      <c r="AD36" s="47"/>
      <c r="AE36" s="47"/>
      <c r="AF36" s="47">
        <f t="shared" si="20"/>
        <v>20.16</v>
      </c>
      <c r="AG36" s="47">
        <v>16800</v>
      </c>
      <c r="AH36" s="47"/>
      <c r="AI36" s="47">
        <f t="shared" si="21"/>
        <v>36.26</v>
      </c>
      <c r="AJ36" s="53">
        <f t="shared" si="22"/>
        <v>16.495999999999999</v>
      </c>
      <c r="AK36" s="53">
        <f t="shared" si="23"/>
        <v>164960</v>
      </c>
      <c r="AL36" s="47"/>
      <c r="AM36" s="47">
        <f t="shared" si="3"/>
        <v>7.0499000000000001</v>
      </c>
      <c r="AN36" s="47">
        <f t="shared" si="4"/>
        <v>6.6352000000000002</v>
      </c>
      <c r="AO36" s="47">
        <f t="shared" si="24"/>
        <v>66352</v>
      </c>
      <c r="AP36" s="47">
        <f t="shared" si="5"/>
        <v>0.41470000000000001</v>
      </c>
      <c r="AQ36" s="47">
        <f t="shared" si="25"/>
        <v>4147</v>
      </c>
      <c r="AR36" s="47"/>
      <c r="AS36" s="47">
        <f t="shared" si="26"/>
        <v>1.0782</v>
      </c>
      <c r="AT36" s="47">
        <f t="shared" si="6"/>
        <v>0.49759999999999999</v>
      </c>
      <c r="AU36" s="47">
        <f t="shared" si="27"/>
        <v>4976</v>
      </c>
      <c r="AV36" s="47">
        <f t="shared" si="7"/>
        <v>0.5806</v>
      </c>
      <c r="AW36" s="47">
        <f t="shared" si="28"/>
        <v>5806</v>
      </c>
      <c r="AX36" s="47">
        <f t="shared" si="8"/>
        <v>12.372</v>
      </c>
      <c r="AY36" s="47"/>
      <c r="AZ36" s="47"/>
      <c r="BA36" s="54">
        <v>1E-4</v>
      </c>
      <c r="BB36" s="55" t="s">
        <v>163</v>
      </c>
      <c r="BC36" s="51">
        <f t="shared" si="29"/>
        <v>59.44</v>
      </c>
      <c r="BD36" s="47">
        <f t="shared" si="32"/>
        <v>13.44</v>
      </c>
      <c r="BE36" s="47">
        <f t="shared" si="30"/>
        <v>0</v>
      </c>
      <c r="BF36" s="47"/>
      <c r="BG36" s="56">
        <v>46</v>
      </c>
      <c r="BH36" s="47"/>
      <c r="BI36" s="51">
        <f t="shared" si="10"/>
        <v>0</v>
      </c>
      <c r="BJ36" s="51">
        <f t="shared" si="11"/>
        <v>0</v>
      </c>
      <c r="BK36" s="47"/>
      <c r="BL36" s="47"/>
      <c r="BM36" s="47"/>
      <c r="BN36" s="47"/>
      <c r="BO36" s="47"/>
      <c r="BP36" s="47"/>
      <c r="BQ36" s="47"/>
      <c r="BR36" s="47"/>
      <c r="BS36" s="53"/>
      <c r="BT36" s="47"/>
      <c r="BU36" s="47"/>
      <c r="BV36" s="47"/>
      <c r="BW36" s="47"/>
      <c r="BX36" s="47"/>
      <c r="BY36" s="47"/>
      <c r="BZ36" s="47"/>
      <c r="CA36" s="47"/>
      <c r="CB36" s="54">
        <f t="shared" si="12"/>
        <v>199.53609999999998</v>
      </c>
    </row>
    <row r="37" spans="1:80" ht="14.25" customHeight="1">
      <c r="A37" s="47">
        <v>30</v>
      </c>
      <c r="B37" s="47" t="s">
        <v>129</v>
      </c>
      <c r="C37" s="48">
        <v>128001</v>
      </c>
      <c r="D37" s="49" t="s">
        <v>164</v>
      </c>
      <c r="E37" s="49" t="s">
        <v>150</v>
      </c>
      <c r="F37" s="50">
        <f t="shared" si="13"/>
        <v>7</v>
      </c>
      <c r="G37" s="50"/>
      <c r="H37" s="50"/>
      <c r="I37" s="50">
        <v>7</v>
      </c>
      <c r="J37" s="50"/>
      <c r="K37" s="50"/>
      <c r="L37" s="50"/>
      <c r="M37" s="50"/>
      <c r="N37" s="50"/>
      <c r="O37" s="50">
        <f t="shared" si="14"/>
        <v>7</v>
      </c>
      <c r="P37" s="51">
        <f t="shared" si="0"/>
        <v>103.05249999999999</v>
      </c>
      <c r="Q37" s="51">
        <f t="shared" si="1"/>
        <v>70.332499999999996</v>
      </c>
      <c r="R37" s="47">
        <f t="shared" si="15"/>
        <v>19622</v>
      </c>
      <c r="S37" s="58"/>
      <c r="T37" s="51">
        <v>19622</v>
      </c>
      <c r="U37" s="47">
        <f t="shared" si="16"/>
        <v>23.546399999999998</v>
      </c>
      <c r="V37" s="51">
        <f t="shared" si="2"/>
        <v>0</v>
      </c>
      <c r="W37" s="47">
        <f t="shared" si="17"/>
        <v>0</v>
      </c>
      <c r="X37" s="47"/>
      <c r="Y37" s="47"/>
      <c r="Z37" s="47"/>
      <c r="AA37" s="47"/>
      <c r="AB37" s="51">
        <f t="shared" si="18"/>
        <v>10.08</v>
      </c>
      <c r="AC37" s="47">
        <f t="shared" si="19"/>
        <v>0</v>
      </c>
      <c r="AD37" s="47"/>
      <c r="AE37" s="47"/>
      <c r="AF37" s="47">
        <f t="shared" si="20"/>
        <v>10.08</v>
      </c>
      <c r="AG37" s="47">
        <v>8400</v>
      </c>
      <c r="AH37" s="47"/>
      <c r="AI37" s="47">
        <f t="shared" si="21"/>
        <v>18.13</v>
      </c>
      <c r="AJ37" s="53">
        <f t="shared" si="22"/>
        <v>8.2810000000000006</v>
      </c>
      <c r="AK37" s="53">
        <f t="shared" si="23"/>
        <v>82810</v>
      </c>
      <c r="AL37" s="47"/>
      <c r="AM37" s="47">
        <f t="shared" si="3"/>
        <v>3.5425</v>
      </c>
      <c r="AN37" s="47">
        <f t="shared" si="4"/>
        <v>3.3340999999999998</v>
      </c>
      <c r="AO37" s="47">
        <f t="shared" si="24"/>
        <v>33341</v>
      </c>
      <c r="AP37" s="47">
        <f t="shared" si="5"/>
        <v>0.2084</v>
      </c>
      <c r="AQ37" s="47">
        <f t="shared" si="25"/>
        <v>2084</v>
      </c>
      <c r="AR37" s="47"/>
      <c r="AS37" s="47">
        <f t="shared" si="26"/>
        <v>0.54179999999999995</v>
      </c>
      <c r="AT37" s="47">
        <f t="shared" si="6"/>
        <v>0.25009999999999999</v>
      </c>
      <c r="AU37" s="47">
        <f t="shared" si="27"/>
        <v>2501</v>
      </c>
      <c r="AV37" s="47">
        <f t="shared" si="7"/>
        <v>0.29170000000000001</v>
      </c>
      <c r="AW37" s="47">
        <f t="shared" si="28"/>
        <v>2917</v>
      </c>
      <c r="AX37" s="47">
        <f t="shared" si="8"/>
        <v>6.2107999999999999</v>
      </c>
      <c r="AY37" s="47"/>
      <c r="AZ37" s="47"/>
      <c r="BA37" s="54">
        <v>1E-4</v>
      </c>
      <c r="BB37" s="55" t="s">
        <v>164</v>
      </c>
      <c r="BC37" s="51">
        <f t="shared" si="29"/>
        <v>32.72</v>
      </c>
      <c r="BD37" s="47">
        <f t="shared" si="32"/>
        <v>6.72</v>
      </c>
      <c r="BE37" s="47">
        <f t="shared" si="30"/>
        <v>0</v>
      </c>
      <c r="BF37" s="47"/>
      <c r="BG37" s="56">
        <v>26</v>
      </c>
      <c r="BH37" s="47"/>
      <c r="BI37" s="51">
        <f t="shared" si="10"/>
        <v>0</v>
      </c>
      <c r="BJ37" s="51">
        <f t="shared" si="11"/>
        <v>0</v>
      </c>
      <c r="BK37" s="47"/>
      <c r="BL37" s="47"/>
      <c r="BM37" s="47"/>
      <c r="BN37" s="47"/>
      <c r="BO37" s="47"/>
      <c r="BP37" s="47"/>
      <c r="BQ37" s="47"/>
      <c r="BR37" s="47"/>
      <c r="BS37" s="53"/>
      <c r="BT37" s="47"/>
      <c r="BU37" s="47"/>
      <c r="BV37" s="47"/>
      <c r="BW37" s="47"/>
      <c r="BX37" s="47"/>
      <c r="BY37" s="47"/>
      <c r="BZ37" s="47"/>
      <c r="CA37" s="47"/>
      <c r="CB37" s="54">
        <f t="shared" si="12"/>
        <v>103.05249999999999</v>
      </c>
    </row>
    <row r="38" spans="1:80" ht="14.25" customHeight="1">
      <c r="A38" s="47">
        <v>31</v>
      </c>
      <c r="B38" s="47" t="s">
        <v>129</v>
      </c>
      <c r="C38" s="48">
        <v>808001</v>
      </c>
      <c r="D38" s="49" t="s">
        <v>165</v>
      </c>
      <c r="E38" s="49" t="s">
        <v>131</v>
      </c>
      <c r="F38" s="50">
        <f t="shared" si="13"/>
        <v>122</v>
      </c>
      <c r="G38" s="50">
        <v>38</v>
      </c>
      <c r="H38" s="50"/>
      <c r="I38" s="50">
        <v>84</v>
      </c>
      <c r="J38" s="50"/>
      <c r="K38" s="50"/>
      <c r="L38" s="50"/>
      <c r="M38" s="50"/>
      <c r="N38" s="50">
        <v>1</v>
      </c>
      <c r="O38" s="50">
        <f t="shared" si="14"/>
        <v>123</v>
      </c>
      <c r="P38" s="51">
        <f t="shared" si="0"/>
        <v>1866.9067999999997</v>
      </c>
      <c r="Q38" s="51">
        <f t="shared" si="1"/>
        <v>1454.3587999999997</v>
      </c>
      <c r="R38" s="47">
        <f t="shared" si="15"/>
        <v>354671</v>
      </c>
      <c r="S38" s="58">
        <v>132812</v>
      </c>
      <c r="T38" s="51">
        <v>221859</v>
      </c>
      <c r="U38" s="47">
        <f t="shared" si="16"/>
        <v>425.60520000000002</v>
      </c>
      <c r="V38" s="51">
        <f t="shared" si="2"/>
        <v>85.5</v>
      </c>
      <c r="W38" s="47">
        <f t="shared" si="17"/>
        <v>85.5</v>
      </c>
      <c r="X38" s="47"/>
      <c r="Y38" s="47"/>
      <c r="Z38" s="47"/>
      <c r="AA38" s="47"/>
      <c r="AB38" s="51">
        <f t="shared" si="18"/>
        <v>196.8476</v>
      </c>
      <c r="AC38" s="47">
        <f t="shared" si="19"/>
        <v>13.2812</v>
      </c>
      <c r="AD38" s="47"/>
      <c r="AE38" s="47"/>
      <c r="AF38" s="47">
        <f t="shared" si="20"/>
        <v>183.56639999999999</v>
      </c>
      <c r="AG38" s="47">
        <v>152972</v>
      </c>
      <c r="AH38" s="47"/>
      <c r="AI38" s="47">
        <f t="shared" si="21"/>
        <v>217.56</v>
      </c>
      <c r="AJ38" s="53">
        <f t="shared" si="22"/>
        <v>148.08199999999999</v>
      </c>
      <c r="AK38" s="53">
        <f t="shared" si="23"/>
        <v>1480820</v>
      </c>
      <c r="AL38" s="47"/>
      <c r="AM38" s="47">
        <f t="shared" si="3"/>
        <v>61.944000000000003</v>
      </c>
      <c r="AN38" s="47">
        <f t="shared" si="4"/>
        <v>58.300699999999999</v>
      </c>
      <c r="AO38" s="47">
        <f t="shared" si="24"/>
        <v>583007</v>
      </c>
      <c r="AP38" s="47">
        <f t="shared" si="5"/>
        <v>3.6433</v>
      </c>
      <c r="AQ38" s="47">
        <f t="shared" si="25"/>
        <v>36433</v>
      </c>
      <c r="AR38" s="47"/>
      <c r="AS38" s="47">
        <f t="shared" si="26"/>
        <v>7.7584999999999997</v>
      </c>
      <c r="AT38" s="47">
        <f t="shared" si="6"/>
        <v>4.3719999999999999</v>
      </c>
      <c r="AU38" s="47">
        <f t="shared" si="27"/>
        <v>43720</v>
      </c>
      <c r="AV38" s="47">
        <f t="shared" si="7"/>
        <v>3.3864999999999998</v>
      </c>
      <c r="AW38" s="47">
        <f t="shared" si="28"/>
        <v>33865</v>
      </c>
      <c r="AX38" s="47">
        <f t="shared" si="8"/>
        <v>111.0615</v>
      </c>
      <c r="AY38" s="47"/>
      <c r="AZ38" s="47">
        <v>200</v>
      </c>
      <c r="BA38" s="54">
        <v>1E-4</v>
      </c>
      <c r="BB38" s="55" t="s">
        <v>165</v>
      </c>
      <c r="BC38" s="51">
        <f t="shared" si="29"/>
        <v>412.548</v>
      </c>
      <c r="BD38" s="47">
        <f t="shared" si="32"/>
        <v>126.24000000000001</v>
      </c>
      <c r="BE38" s="47">
        <f t="shared" si="30"/>
        <v>26.808</v>
      </c>
      <c r="BF38" s="47">
        <v>22340</v>
      </c>
      <c r="BG38" s="56">
        <v>177</v>
      </c>
      <c r="BH38" s="47">
        <v>82.5</v>
      </c>
      <c r="BI38" s="51">
        <f t="shared" si="10"/>
        <v>0</v>
      </c>
      <c r="BJ38" s="51">
        <f t="shared" si="11"/>
        <v>0</v>
      </c>
      <c r="BK38" s="47"/>
      <c r="BL38" s="47"/>
      <c r="BM38" s="47"/>
      <c r="BN38" s="47"/>
      <c r="BO38" s="47"/>
      <c r="BP38" s="47"/>
      <c r="BQ38" s="47"/>
      <c r="BR38" s="47"/>
      <c r="BS38" s="53"/>
      <c r="BT38" s="47"/>
      <c r="BU38" s="47"/>
      <c r="BV38" s="47"/>
      <c r="BW38" s="47"/>
      <c r="BX38" s="47"/>
      <c r="BY38" s="47"/>
      <c r="BZ38" s="47"/>
      <c r="CA38" s="47"/>
      <c r="CB38" s="54">
        <f t="shared" si="12"/>
        <v>1866.9067999999997</v>
      </c>
    </row>
    <row r="39" spans="1:80" ht="14.25" customHeight="1">
      <c r="A39" s="47">
        <v>32</v>
      </c>
      <c r="B39" s="47" t="s">
        <v>129</v>
      </c>
      <c r="C39" s="48">
        <v>808002</v>
      </c>
      <c r="D39" s="49" t="s">
        <v>166</v>
      </c>
      <c r="E39" s="49" t="s">
        <v>150</v>
      </c>
      <c r="F39" s="50">
        <f t="shared" si="13"/>
        <v>82</v>
      </c>
      <c r="G39" s="50"/>
      <c r="H39" s="50"/>
      <c r="I39" s="50">
        <v>82</v>
      </c>
      <c r="J39" s="50"/>
      <c r="K39" s="50"/>
      <c r="L39" s="50"/>
      <c r="M39" s="50"/>
      <c r="N39" s="50">
        <v>61</v>
      </c>
      <c r="O39" s="50">
        <f t="shared" si="14"/>
        <v>143</v>
      </c>
      <c r="P39" s="51">
        <f t="shared" si="0"/>
        <v>1211.4839999999999</v>
      </c>
      <c r="Q39" s="51">
        <f t="shared" si="1"/>
        <v>930.10799999999995</v>
      </c>
      <c r="R39" s="47">
        <f t="shared" si="15"/>
        <v>283473</v>
      </c>
      <c r="S39" s="58"/>
      <c r="T39" s="51">
        <v>283473</v>
      </c>
      <c r="U39" s="47">
        <f t="shared" si="16"/>
        <v>340.16759999999999</v>
      </c>
      <c r="V39" s="51">
        <f t="shared" si="2"/>
        <v>30</v>
      </c>
      <c r="W39" s="47">
        <f t="shared" si="17"/>
        <v>0</v>
      </c>
      <c r="X39" s="47"/>
      <c r="Y39" s="47"/>
      <c r="Z39" s="47"/>
      <c r="AA39" s="47">
        <v>30</v>
      </c>
      <c r="AB39" s="51">
        <f t="shared" si="18"/>
        <v>108</v>
      </c>
      <c r="AC39" s="47">
        <f t="shared" si="19"/>
        <v>0</v>
      </c>
      <c r="AD39" s="47"/>
      <c r="AE39" s="47"/>
      <c r="AF39" s="47">
        <f t="shared" si="20"/>
        <v>108</v>
      </c>
      <c r="AG39" s="47">
        <v>90000</v>
      </c>
      <c r="AH39" s="47"/>
      <c r="AI39" s="47">
        <f t="shared" si="21"/>
        <v>212.38</v>
      </c>
      <c r="AJ39" s="53">
        <f t="shared" si="22"/>
        <v>105.6876</v>
      </c>
      <c r="AK39" s="53">
        <f t="shared" si="23"/>
        <v>1056876</v>
      </c>
      <c r="AL39" s="47"/>
      <c r="AM39" s="47">
        <f t="shared" si="3"/>
        <v>47.423999999999999</v>
      </c>
      <c r="AN39" s="47">
        <f t="shared" si="4"/>
        <v>44.661299999999997</v>
      </c>
      <c r="AO39" s="47">
        <f t="shared" si="24"/>
        <v>446613</v>
      </c>
      <c r="AP39" s="47">
        <f t="shared" si="5"/>
        <v>2.7627000000000002</v>
      </c>
      <c r="AQ39" s="47">
        <f t="shared" si="25"/>
        <v>27627</v>
      </c>
      <c r="AR39" s="47"/>
      <c r="AS39" s="47">
        <f t="shared" si="26"/>
        <v>7.1830999999999996</v>
      </c>
      <c r="AT39" s="47">
        <f t="shared" si="6"/>
        <v>3.3153000000000001</v>
      </c>
      <c r="AU39" s="47">
        <f t="shared" si="27"/>
        <v>33153</v>
      </c>
      <c r="AV39" s="47">
        <f t="shared" si="7"/>
        <v>3.8677999999999999</v>
      </c>
      <c r="AW39" s="47">
        <f t="shared" si="28"/>
        <v>38678</v>
      </c>
      <c r="AX39" s="47">
        <f t="shared" si="8"/>
        <v>79.265699999999995</v>
      </c>
      <c r="AY39" s="47"/>
      <c r="AZ39" s="47"/>
      <c r="BA39" s="54">
        <v>1E-4</v>
      </c>
      <c r="BB39" s="55" t="s">
        <v>166</v>
      </c>
      <c r="BC39" s="51">
        <f t="shared" si="29"/>
        <v>264.72000000000003</v>
      </c>
      <c r="BD39" s="47">
        <f t="shared" si="32"/>
        <v>78.72</v>
      </c>
      <c r="BE39" s="47">
        <f t="shared" si="30"/>
        <v>0</v>
      </c>
      <c r="BF39" s="47"/>
      <c r="BG39" s="56">
        <v>186</v>
      </c>
      <c r="BH39" s="47"/>
      <c r="BI39" s="51">
        <f t="shared" si="10"/>
        <v>16.655999999999999</v>
      </c>
      <c r="BJ39" s="51">
        <f t="shared" si="11"/>
        <v>0</v>
      </c>
      <c r="BK39" s="47"/>
      <c r="BL39" s="47"/>
      <c r="BM39" s="47"/>
      <c r="BN39" s="47"/>
      <c r="BO39" s="47"/>
      <c r="BP39" s="47">
        <v>1.6559999999999999</v>
      </c>
      <c r="BQ39" s="47"/>
      <c r="BR39" s="47"/>
      <c r="BS39" s="53"/>
      <c r="BT39" s="47"/>
      <c r="BU39" s="47"/>
      <c r="BV39" s="47"/>
      <c r="BW39" s="47">
        <v>15</v>
      </c>
      <c r="BX39" s="47"/>
      <c r="BY39" s="47"/>
      <c r="BZ39" s="47"/>
      <c r="CA39" s="47"/>
      <c r="CB39" s="54">
        <f t="shared" si="12"/>
        <v>1211.4839999999999</v>
      </c>
    </row>
    <row r="40" spans="1:80" ht="14.25" customHeight="1">
      <c r="A40" s="47">
        <v>33</v>
      </c>
      <c r="B40" s="47" t="s">
        <v>129</v>
      </c>
      <c r="C40" s="48">
        <v>813001</v>
      </c>
      <c r="D40" s="49" t="s">
        <v>167</v>
      </c>
      <c r="E40" s="49" t="s">
        <v>131</v>
      </c>
      <c r="F40" s="50">
        <f t="shared" si="13"/>
        <v>55</v>
      </c>
      <c r="G40" s="50">
        <v>41</v>
      </c>
      <c r="H40" s="50">
        <v>5</v>
      </c>
      <c r="I40" s="50">
        <v>3</v>
      </c>
      <c r="J40" s="50">
        <v>6</v>
      </c>
      <c r="K40" s="50"/>
      <c r="L40" s="50"/>
      <c r="M40" s="50"/>
      <c r="N40" s="50">
        <v>61</v>
      </c>
      <c r="O40" s="50">
        <f t="shared" si="14"/>
        <v>116</v>
      </c>
      <c r="P40" s="51">
        <f t="shared" si="0"/>
        <v>875.47789999999998</v>
      </c>
      <c r="Q40" s="51">
        <f t="shared" si="1"/>
        <v>625.43389999999999</v>
      </c>
      <c r="R40" s="47">
        <f t="shared" si="15"/>
        <v>189866</v>
      </c>
      <c r="S40" s="58">
        <v>166211</v>
      </c>
      <c r="T40" s="51">
        <v>23655</v>
      </c>
      <c r="U40" s="47">
        <f t="shared" si="16"/>
        <v>227.83920000000001</v>
      </c>
      <c r="V40" s="51">
        <f t="shared" si="2"/>
        <v>103.5</v>
      </c>
      <c r="W40" s="47">
        <f t="shared" si="17"/>
        <v>103.5</v>
      </c>
      <c r="X40" s="47"/>
      <c r="Y40" s="47"/>
      <c r="Z40" s="47"/>
      <c r="AA40" s="47"/>
      <c r="AB40" s="51">
        <f t="shared" si="18"/>
        <v>108.11749999999999</v>
      </c>
      <c r="AC40" s="47">
        <f t="shared" si="19"/>
        <v>16.621099999999998</v>
      </c>
      <c r="AD40" s="47"/>
      <c r="AE40" s="47"/>
      <c r="AF40" s="47">
        <f t="shared" si="20"/>
        <v>91.496399999999994</v>
      </c>
      <c r="AG40" s="47">
        <v>76247</v>
      </c>
      <c r="AH40" s="47"/>
      <c r="AI40" s="47">
        <f t="shared" si="21"/>
        <v>23.31</v>
      </c>
      <c r="AJ40" s="53">
        <f t="shared" si="22"/>
        <v>74.042699999999996</v>
      </c>
      <c r="AK40" s="53">
        <f t="shared" si="23"/>
        <v>740427</v>
      </c>
      <c r="AL40" s="47"/>
      <c r="AM40" s="47">
        <f t="shared" si="3"/>
        <v>30.602699999999999</v>
      </c>
      <c r="AN40" s="47">
        <f t="shared" si="4"/>
        <v>28.8294</v>
      </c>
      <c r="AO40" s="47">
        <f t="shared" si="24"/>
        <v>288294</v>
      </c>
      <c r="AP40" s="47">
        <f t="shared" si="5"/>
        <v>1.7732000000000001</v>
      </c>
      <c r="AQ40" s="47">
        <f t="shared" si="25"/>
        <v>17732</v>
      </c>
      <c r="AR40" s="47"/>
      <c r="AS40" s="47">
        <f t="shared" si="26"/>
        <v>2.4897999999999998</v>
      </c>
      <c r="AT40" s="47">
        <f t="shared" si="6"/>
        <v>2.1278999999999999</v>
      </c>
      <c r="AU40" s="47">
        <f t="shared" si="27"/>
        <v>21279</v>
      </c>
      <c r="AV40" s="47">
        <f t="shared" si="7"/>
        <v>0.3619</v>
      </c>
      <c r="AW40" s="47">
        <f t="shared" si="28"/>
        <v>3619</v>
      </c>
      <c r="AX40" s="47">
        <f t="shared" si="8"/>
        <v>55.531999999999996</v>
      </c>
      <c r="AY40" s="47"/>
      <c r="AZ40" s="47"/>
      <c r="BA40" s="54">
        <v>1E-4</v>
      </c>
      <c r="BB40" s="55" t="s">
        <v>167</v>
      </c>
      <c r="BC40" s="51">
        <f t="shared" si="29"/>
        <v>241.76400000000001</v>
      </c>
      <c r="BD40" s="47">
        <f t="shared" si="32"/>
        <v>63.839999999999996</v>
      </c>
      <c r="BE40" s="47">
        <f t="shared" si="30"/>
        <v>33.923999999999999</v>
      </c>
      <c r="BF40" s="47">
        <v>28270</v>
      </c>
      <c r="BG40" s="56">
        <f>16+128</f>
        <v>144</v>
      </c>
      <c r="BH40" s="47"/>
      <c r="BI40" s="51">
        <f t="shared" si="10"/>
        <v>8.2799999999999994</v>
      </c>
      <c r="BJ40" s="51">
        <f t="shared" si="11"/>
        <v>0</v>
      </c>
      <c r="BK40" s="47"/>
      <c r="BL40" s="47"/>
      <c r="BM40" s="47"/>
      <c r="BN40" s="47"/>
      <c r="BO40" s="47"/>
      <c r="BP40" s="47">
        <v>8.2799999999999994</v>
      </c>
      <c r="BQ40" s="47"/>
      <c r="BR40" s="47"/>
      <c r="BS40" s="53"/>
      <c r="BT40" s="47"/>
      <c r="BU40" s="47"/>
      <c r="BV40" s="47"/>
      <c r="BW40" s="47"/>
      <c r="BX40" s="47"/>
      <c r="BY40" s="47"/>
      <c r="BZ40" s="47"/>
      <c r="CA40" s="47"/>
      <c r="CB40" s="54">
        <f t="shared" ref="CB40:CB71" si="33">P40+BX40+BZ40+BY40+CA40</f>
        <v>875.47789999999998</v>
      </c>
    </row>
    <row r="41" spans="1:80" ht="14.25" customHeight="1">
      <c r="A41" s="47">
        <v>34</v>
      </c>
      <c r="B41" s="47" t="s">
        <v>129</v>
      </c>
      <c r="C41" s="48">
        <v>803001</v>
      </c>
      <c r="D41" s="49" t="s">
        <v>168</v>
      </c>
      <c r="E41" s="49" t="s">
        <v>131</v>
      </c>
      <c r="F41" s="50">
        <f t="shared" si="13"/>
        <v>45</v>
      </c>
      <c r="G41" s="50">
        <v>25</v>
      </c>
      <c r="H41" s="50"/>
      <c r="I41" s="50">
        <v>20</v>
      </c>
      <c r="J41" s="50"/>
      <c r="K41" s="50"/>
      <c r="L41" s="50"/>
      <c r="M41" s="50"/>
      <c r="N41" s="50">
        <v>25</v>
      </c>
      <c r="O41" s="50">
        <f t="shared" si="14"/>
        <v>70</v>
      </c>
      <c r="P41" s="51">
        <f t="shared" si="0"/>
        <v>801.30420000000004</v>
      </c>
      <c r="Q41" s="51">
        <f t="shared" si="1"/>
        <v>538.09460000000001</v>
      </c>
      <c r="R41" s="47">
        <f t="shared" si="15"/>
        <v>170284</v>
      </c>
      <c r="S41" s="58">
        <v>106729</v>
      </c>
      <c r="T41" s="51">
        <v>63555</v>
      </c>
      <c r="U41" s="47">
        <f t="shared" si="16"/>
        <v>204.3408</v>
      </c>
      <c r="V41" s="51">
        <f t="shared" si="2"/>
        <v>56.25</v>
      </c>
      <c r="W41" s="47">
        <f t="shared" si="17"/>
        <v>56.25</v>
      </c>
      <c r="X41" s="47"/>
      <c r="Y41" s="47"/>
      <c r="Z41" s="47"/>
      <c r="AA41" s="47"/>
      <c r="AB41" s="51">
        <f t="shared" si="18"/>
        <v>84.939700000000002</v>
      </c>
      <c r="AC41" s="47">
        <f t="shared" si="19"/>
        <v>10.6729</v>
      </c>
      <c r="AD41" s="47"/>
      <c r="AE41" s="47"/>
      <c r="AF41" s="47">
        <f t="shared" si="20"/>
        <v>74.266800000000003</v>
      </c>
      <c r="AG41" s="47">
        <v>61889</v>
      </c>
      <c r="AH41" s="47"/>
      <c r="AI41" s="47">
        <f t="shared" si="21"/>
        <v>51.8</v>
      </c>
      <c r="AJ41" s="53">
        <f t="shared" si="22"/>
        <v>63.572899999999997</v>
      </c>
      <c r="AK41" s="53">
        <f t="shared" si="23"/>
        <v>635729</v>
      </c>
      <c r="AL41" s="47"/>
      <c r="AM41" s="47">
        <f t="shared" si="3"/>
        <v>26.7407</v>
      </c>
      <c r="AN41" s="47">
        <f t="shared" si="4"/>
        <v>25.178799999999999</v>
      </c>
      <c r="AO41" s="47">
        <f t="shared" si="24"/>
        <v>251788</v>
      </c>
      <c r="AP41" s="47">
        <f t="shared" si="5"/>
        <v>1.5620000000000001</v>
      </c>
      <c r="AQ41" s="47">
        <f t="shared" si="25"/>
        <v>15620</v>
      </c>
      <c r="AR41" s="47"/>
      <c r="AS41" s="47">
        <f t="shared" si="26"/>
        <v>2.7707999999999999</v>
      </c>
      <c r="AT41" s="47">
        <f t="shared" si="6"/>
        <v>1.8743000000000001</v>
      </c>
      <c r="AU41" s="47">
        <f t="shared" si="27"/>
        <v>18743</v>
      </c>
      <c r="AV41" s="47">
        <f t="shared" si="7"/>
        <v>0.89649999999999996</v>
      </c>
      <c r="AW41" s="47">
        <f t="shared" si="28"/>
        <v>8965</v>
      </c>
      <c r="AX41" s="47">
        <f t="shared" si="8"/>
        <v>47.679699999999997</v>
      </c>
      <c r="AY41" s="47"/>
      <c r="AZ41" s="47"/>
      <c r="BA41" s="54">
        <v>1E-4</v>
      </c>
      <c r="BB41" s="55" t="s">
        <v>168</v>
      </c>
      <c r="BC41" s="51">
        <f t="shared" si="29"/>
        <v>260.36799999999999</v>
      </c>
      <c r="BD41" s="47">
        <f t="shared" si="32"/>
        <v>49.2</v>
      </c>
      <c r="BE41" s="47">
        <f t="shared" si="30"/>
        <v>21.167999999999999</v>
      </c>
      <c r="BF41" s="47">
        <v>17640</v>
      </c>
      <c r="BG41" s="56">
        <v>97</v>
      </c>
      <c r="BH41" s="47">
        <v>93</v>
      </c>
      <c r="BI41" s="51">
        <f t="shared" si="10"/>
        <v>2.8416000000000001</v>
      </c>
      <c r="BJ41" s="51">
        <f t="shared" si="11"/>
        <v>0</v>
      </c>
      <c r="BK41" s="47"/>
      <c r="BL41" s="47"/>
      <c r="BM41" s="47"/>
      <c r="BN41" s="47"/>
      <c r="BO41" s="47"/>
      <c r="BP41" s="47">
        <v>2.8416000000000001</v>
      </c>
      <c r="BQ41" s="47"/>
      <c r="BR41" s="47"/>
      <c r="BS41" s="53"/>
      <c r="BT41" s="47"/>
      <c r="BU41" s="47"/>
      <c r="BV41" s="47"/>
      <c r="BW41" s="47"/>
      <c r="BX41" s="47"/>
      <c r="BY41" s="47"/>
      <c r="BZ41" s="47"/>
      <c r="CA41" s="47"/>
      <c r="CB41" s="54">
        <f t="shared" si="33"/>
        <v>801.30420000000004</v>
      </c>
    </row>
    <row r="42" spans="1:80" ht="14.25" customHeight="1">
      <c r="A42" s="47">
        <v>35</v>
      </c>
      <c r="B42" s="47" t="s">
        <v>129</v>
      </c>
      <c r="C42" s="48">
        <v>803002</v>
      </c>
      <c r="D42" s="49" t="s">
        <v>169</v>
      </c>
      <c r="E42" s="49" t="s">
        <v>141</v>
      </c>
      <c r="F42" s="50">
        <f t="shared" si="13"/>
        <v>32</v>
      </c>
      <c r="G42" s="50"/>
      <c r="H42" s="50"/>
      <c r="I42" s="50">
        <v>14</v>
      </c>
      <c r="J42" s="50">
        <v>18</v>
      </c>
      <c r="K42" s="50"/>
      <c r="L42" s="50"/>
      <c r="M42" s="50"/>
      <c r="N42" s="50">
        <v>9</v>
      </c>
      <c r="O42" s="50">
        <f t="shared" si="14"/>
        <v>41</v>
      </c>
      <c r="P42" s="51">
        <f t="shared" si="0"/>
        <v>436.59999999999997</v>
      </c>
      <c r="Q42" s="51">
        <f t="shared" si="1"/>
        <v>324.25200000000001</v>
      </c>
      <c r="R42" s="47">
        <f t="shared" si="15"/>
        <v>91312</v>
      </c>
      <c r="S42" s="58"/>
      <c r="T42" s="51">
        <v>91312</v>
      </c>
      <c r="U42" s="47">
        <f t="shared" si="16"/>
        <v>109.5744</v>
      </c>
      <c r="V42" s="51">
        <f t="shared" si="2"/>
        <v>0</v>
      </c>
      <c r="W42" s="47">
        <f t="shared" si="17"/>
        <v>0</v>
      </c>
      <c r="X42" s="47"/>
      <c r="Y42" s="47"/>
      <c r="Z42" s="47"/>
      <c r="AA42" s="47"/>
      <c r="AB42" s="51">
        <f t="shared" si="18"/>
        <v>46.08</v>
      </c>
      <c r="AC42" s="47">
        <f t="shared" si="19"/>
        <v>0</v>
      </c>
      <c r="AD42" s="47"/>
      <c r="AE42" s="47"/>
      <c r="AF42" s="47">
        <f t="shared" si="20"/>
        <v>46.08</v>
      </c>
      <c r="AG42" s="47">
        <f>22800+15600</f>
        <v>38400</v>
      </c>
      <c r="AH42" s="47"/>
      <c r="AI42" s="47">
        <f t="shared" si="21"/>
        <v>82.88</v>
      </c>
      <c r="AJ42" s="53">
        <f t="shared" si="22"/>
        <v>38.165500000000002</v>
      </c>
      <c r="AK42" s="53">
        <f t="shared" si="23"/>
        <v>381655</v>
      </c>
      <c r="AL42" s="47"/>
      <c r="AM42" s="47">
        <f t="shared" si="3"/>
        <v>16.426100000000002</v>
      </c>
      <c r="AN42" s="47">
        <f t="shared" si="4"/>
        <v>15.463900000000001</v>
      </c>
      <c r="AO42" s="47">
        <f t="shared" si="24"/>
        <v>154639</v>
      </c>
      <c r="AP42" s="47">
        <f t="shared" si="5"/>
        <v>0.96230000000000004</v>
      </c>
      <c r="AQ42" s="47">
        <f t="shared" si="25"/>
        <v>9623</v>
      </c>
      <c r="AR42" s="47"/>
      <c r="AS42" s="47">
        <f t="shared" si="26"/>
        <v>2.5019</v>
      </c>
      <c r="AT42" s="47">
        <f t="shared" si="6"/>
        <v>1.1547000000000001</v>
      </c>
      <c r="AU42" s="47">
        <f t="shared" si="27"/>
        <v>11547</v>
      </c>
      <c r="AV42" s="47">
        <f t="shared" si="7"/>
        <v>1.3472</v>
      </c>
      <c r="AW42" s="47">
        <f t="shared" si="28"/>
        <v>13472</v>
      </c>
      <c r="AX42" s="47">
        <f t="shared" si="8"/>
        <v>28.624099999999999</v>
      </c>
      <c r="AY42" s="47"/>
      <c r="AZ42" s="47"/>
      <c r="BA42" s="54">
        <v>1E-4</v>
      </c>
      <c r="BB42" s="55" t="s">
        <v>169</v>
      </c>
      <c r="BC42" s="51">
        <f t="shared" si="29"/>
        <v>111.52</v>
      </c>
      <c r="BD42" s="47">
        <f t="shared" si="32"/>
        <v>30.72</v>
      </c>
      <c r="BE42" s="47">
        <f t="shared" si="30"/>
        <v>0</v>
      </c>
      <c r="BF42" s="47"/>
      <c r="BG42" s="56">
        <v>77</v>
      </c>
      <c r="BH42" s="47">
        <v>3.8</v>
      </c>
      <c r="BI42" s="51">
        <f t="shared" si="10"/>
        <v>0.82799999999999996</v>
      </c>
      <c r="BJ42" s="51">
        <f t="shared" si="11"/>
        <v>0</v>
      </c>
      <c r="BK42" s="47"/>
      <c r="BL42" s="47"/>
      <c r="BM42" s="47"/>
      <c r="BN42" s="47"/>
      <c r="BO42" s="47"/>
      <c r="BP42" s="47">
        <v>0.82799999999999996</v>
      </c>
      <c r="BQ42" s="47"/>
      <c r="BR42" s="47"/>
      <c r="BS42" s="53"/>
      <c r="BT42" s="47"/>
      <c r="BU42" s="47"/>
      <c r="BV42" s="47"/>
      <c r="BW42" s="47"/>
      <c r="BX42" s="47"/>
      <c r="BY42" s="47"/>
      <c r="BZ42" s="47"/>
      <c r="CA42" s="47"/>
      <c r="CB42" s="54">
        <f t="shared" si="33"/>
        <v>436.59999999999997</v>
      </c>
    </row>
    <row r="43" spans="1:80" ht="14.25" customHeight="1">
      <c r="A43" s="47">
        <v>36</v>
      </c>
      <c r="B43" s="47" t="s">
        <v>129</v>
      </c>
      <c r="C43" s="48">
        <v>803003</v>
      </c>
      <c r="D43" s="49" t="s">
        <v>170</v>
      </c>
      <c r="E43" s="49" t="s">
        <v>150</v>
      </c>
      <c r="F43" s="50">
        <f t="shared" si="13"/>
        <v>8</v>
      </c>
      <c r="G43" s="50"/>
      <c r="H43" s="50"/>
      <c r="I43" s="50">
        <v>4</v>
      </c>
      <c r="J43" s="50">
        <v>4</v>
      </c>
      <c r="K43" s="50"/>
      <c r="L43" s="50"/>
      <c r="M43" s="50"/>
      <c r="N43" s="50"/>
      <c r="O43" s="50">
        <f t="shared" si="14"/>
        <v>8</v>
      </c>
      <c r="P43" s="51">
        <f t="shared" si="0"/>
        <v>123.9781</v>
      </c>
      <c r="Q43" s="51">
        <f t="shared" si="1"/>
        <v>95.128100000000003</v>
      </c>
      <c r="R43" s="47">
        <f t="shared" si="15"/>
        <v>31344</v>
      </c>
      <c r="S43" s="58"/>
      <c r="T43" s="51">
        <v>31344</v>
      </c>
      <c r="U43" s="47">
        <f t="shared" si="16"/>
        <v>37.6128</v>
      </c>
      <c r="V43" s="51">
        <f t="shared" si="2"/>
        <v>0</v>
      </c>
      <c r="W43" s="47">
        <f t="shared" si="17"/>
        <v>0</v>
      </c>
      <c r="X43" s="47"/>
      <c r="Y43" s="47"/>
      <c r="Z43" s="47"/>
      <c r="AA43" s="47"/>
      <c r="AB43" s="51">
        <f t="shared" si="18"/>
        <v>11.52</v>
      </c>
      <c r="AC43" s="47">
        <f t="shared" si="19"/>
        <v>0</v>
      </c>
      <c r="AD43" s="47"/>
      <c r="AE43" s="47"/>
      <c r="AF43" s="47">
        <f t="shared" si="20"/>
        <v>11.52</v>
      </c>
      <c r="AG43" s="47">
        <v>9600</v>
      </c>
      <c r="AH43" s="47"/>
      <c r="AI43" s="47">
        <f t="shared" si="21"/>
        <v>20.72</v>
      </c>
      <c r="AJ43" s="53">
        <f t="shared" si="22"/>
        <v>11.176399999999999</v>
      </c>
      <c r="AK43" s="53">
        <f t="shared" si="23"/>
        <v>111763.99999999999</v>
      </c>
      <c r="AL43" s="47"/>
      <c r="AM43" s="47">
        <f t="shared" si="3"/>
        <v>4.9583000000000004</v>
      </c>
      <c r="AN43" s="47">
        <f t="shared" si="4"/>
        <v>4.6665999999999999</v>
      </c>
      <c r="AO43" s="47">
        <f t="shared" si="24"/>
        <v>46666</v>
      </c>
      <c r="AP43" s="47">
        <f t="shared" si="5"/>
        <v>0.29170000000000001</v>
      </c>
      <c r="AQ43" s="47">
        <f t="shared" si="25"/>
        <v>2917</v>
      </c>
      <c r="AR43" s="47"/>
      <c r="AS43" s="47">
        <f t="shared" si="26"/>
        <v>0.75829999999999997</v>
      </c>
      <c r="AT43" s="47">
        <f t="shared" si="6"/>
        <v>0.35</v>
      </c>
      <c r="AU43" s="47">
        <f t="shared" si="27"/>
        <v>3500</v>
      </c>
      <c r="AV43" s="47">
        <f t="shared" si="7"/>
        <v>0.4083</v>
      </c>
      <c r="AW43" s="47">
        <f t="shared" si="28"/>
        <v>4083</v>
      </c>
      <c r="AX43" s="47">
        <f t="shared" si="8"/>
        <v>8.3823000000000008</v>
      </c>
      <c r="AY43" s="47"/>
      <c r="AZ43" s="47"/>
      <c r="BA43" s="54">
        <v>1E-4</v>
      </c>
      <c r="BB43" s="49" t="s">
        <v>170</v>
      </c>
      <c r="BC43" s="51">
        <f t="shared" si="29"/>
        <v>27.68</v>
      </c>
      <c r="BD43" s="47">
        <f t="shared" si="32"/>
        <v>7.68</v>
      </c>
      <c r="BE43" s="47">
        <f t="shared" si="30"/>
        <v>0</v>
      </c>
      <c r="BF43" s="47"/>
      <c r="BG43" s="56">
        <v>20</v>
      </c>
      <c r="BH43" s="47"/>
      <c r="BI43" s="51">
        <f t="shared" si="10"/>
        <v>1.17</v>
      </c>
      <c r="BJ43" s="51">
        <f t="shared" si="11"/>
        <v>0</v>
      </c>
      <c r="BK43" s="47"/>
      <c r="BL43" s="47"/>
      <c r="BM43" s="47"/>
      <c r="BN43" s="47"/>
      <c r="BO43" s="47"/>
      <c r="BP43" s="47">
        <v>1.17</v>
      </c>
      <c r="BQ43" s="47"/>
      <c r="BR43" s="47"/>
      <c r="BS43" s="53"/>
      <c r="BT43" s="47"/>
      <c r="BU43" s="47"/>
      <c r="BV43" s="47"/>
      <c r="BW43" s="47"/>
      <c r="BX43" s="47"/>
      <c r="BY43" s="47"/>
      <c r="BZ43" s="47"/>
      <c r="CA43" s="47"/>
      <c r="CB43" s="54">
        <f t="shared" si="33"/>
        <v>123.9781</v>
      </c>
    </row>
    <row r="44" spans="1:80" ht="14.25" customHeight="1">
      <c r="A44" s="47">
        <v>37</v>
      </c>
      <c r="B44" s="47" t="s">
        <v>129</v>
      </c>
      <c r="C44" s="48">
        <v>803006</v>
      </c>
      <c r="D44" s="49" t="s">
        <v>171</v>
      </c>
      <c r="E44" s="49" t="s">
        <v>150</v>
      </c>
      <c r="F44" s="50">
        <f t="shared" si="13"/>
        <v>6</v>
      </c>
      <c r="G44" s="50"/>
      <c r="H44" s="50"/>
      <c r="I44" s="50">
        <v>4</v>
      </c>
      <c r="J44" s="50">
        <v>2</v>
      </c>
      <c r="K44" s="50"/>
      <c r="L44" s="50"/>
      <c r="M44" s="50"/>
      <c r="N44" s="50"/>
      <c r="O44" s="50">
        <f t="shared" si="14"/>
        <v>6</v>
      </c>
      <c r="P44" s="51">
        <f t="shared" si="0"/>
        <v>95.135500000000008</v>
      </c>
      <c r="Q44" s="51">
        <f t="shared" si="1"/>
        <v>66.375500000000002</v>
      </c>
      <c r="R44" s="47">
        <f t="shared" si="15"/>
        <v>20502</v>
      </c>
      <c r="S44" s="58"/>
      <c r="T44" s="51">
        <v>20502</v>
      </c>
      <c r="U44" s="47">
        <f t="shared" si="16"/>
        <v>24.602399999999999</v>
      </c>
      <c r="V44" s="51">
        <f t="shared" si="2"/>
        <v>0</v>
      </c>
      <c r="W44" s="47">
        <f t="shared" si="17"/>
        <v>0</v>
      </c>
      <c r="X44" s="47"/>
      <c r="Y44" s="47"/>
      <c r="Z44" s="47"/>
      <c r="AA44" s="47"/>
      <c r="AB44" s="51">
        <f t="shared" si="18"/>
        <v>8.64</v>
      </c>
      <c r="AC44" s="47">
        <f t="shared" si="19"/>
        <v>0</v>
      </c>
      <c r="AD44" s="47"/>
      <c r="AE44" s="47"/>
      <c r="AF44" s="47">
        <f t="shared" si="20"/>
        <v>8.64</v>
      </c>
      <c r="AG44" s="47">
        <v>7200</v>
      </c>
      <c r="AH44" s="47"/>
      <c r="AI44" s="47">
        <f t="shared" si="21"/>
        <v>15.54</v>
      </c>
      <c r="AJ44" s="53">
        <f t="shared" si="22"/>
        <v>7.8052000000000001</v>
      </c>
      <c r="AK44" s="53">
        <f t="shared" si="23"/>
        <v>78052</v>
      </c>
      <c r="AL44" s="47"/>
      <c r="AM44" s="47">
        <f t="shared" si="3"/>
        <v>3.4121000000000001</v>
      </c>
      <c r="AN44" s="47">
        <f t="shared" si="4"/>
        <v>3.2113999999999998</v>
      </c>
      <c r="AO44" s="47">
        <f t="shared" si="24"/>
        <v>32113.999999999996</v>
      </c>
      <c r="AP44" s="47">
        <f t="shared" si="5"/>
        <v>0.20069999999999999</v>
      </c>
      <c r="AQ44" s="47">
        <f t="shared" si="25"/>
        <v>2007</v>
      </c>
      <c r="AR44" s="47"/>
      <c r="AS44" s="47">
        <f t="shared" si="26"/>
        <v>0.52190000000000003</v>
      </c>
      <c r="AT44" s="47">
        <f t="shared" si="6"/>
        <v>0.2409</v>
      </c>
      <c r="AU44" s="47">
        <f t="shared" si="27"/>
        <v>2409</v>
      </c>
      <c r="AV44" s="47">
        <f t="shared" si="7"/>
        <v>0.28100000000000003</v>
      </c>
      <c r="AW44" s="47">
        <f t="shared" si="28"/>
        <v>2810.0000000000005</v>
      </c>
      <c r="AX44" s="47">
        <f t="shared" si="8"/>
        <v>5.8539000000000003</v>
      </c>
      <c r="AY44" s="47"/>
      <c r="AZ44" s="47"/>
      <c r="BA44" s="54">
        <v>1E-4</v>
      </c>
      <c r="BB44" s="55" t="s">
        <v>171</v>
      </c>
      <c r="BC44" s="51">
        <f t="shared" si="29"/>
        <v>28.759999999999998</v>
      </c>
      <c r="BD44" s="47">
        <f t="shared" si="32"/>
        <v>5.76</v>
      </c>
      <c r="BE44" s="47">
        <f t="shared" si="30"/>
        <v>0</v>
      </c>
      <c r="BF44" s="47"/>
      <c r="BG44" s="56">
        <v>23</v>
      </c>
      <c r="BH44" s="47"/>
      <c r="BI44" s="51">
        <f t="shared" si="10"/>
        <v>0</v>
      </c>
      <c r="BJ44" s="51">
        <f t="shared" si="11"/>
        <v>0</v>
      </c>
      <c r="BK44" s="47"/>
      <c r="BL44" s="47"/>
      <c r="BM44" s="47"/>
      <c r="BN44" s="47"/>
      <c r="BO44" s="47"/>
      <c r="BP44" s="47"/>
      <c r="BQ44" s="47"/>
      <c r="BR44" s="47"/>
      <c r="BS44" s="53"/>
      <c r="BT44" s="47"/>
      <c r="BU44" s="47"/>
      <c r="BV44" s="47"/>
      <c r="BW44" s="47"/>
      <c r="BX44" s="47"/>
      <c r="BY44" s="47"/>
      <c r="BZ44" s="47"/>
      <c r="CA44" s="47"/>
      <c r="CB44" s="54">
        <f t="shared" si="33"/>
        <v>95.135500000000008</v>
      </c>
    </row>
    <row r="45" spans="1:80" ht="14.25" customHeight="1">
      <c r="A45" s="47">
        <v>38</v>
      </c>
      <c r="B45" s="47" t="s">
        <v>129</v>
      </c>
      <c r="C45" s="48">
        <v>803005</v>
      </c>
      <c r="D45" s="59" t="s">
        <v>172</v>
      </c>
      <c r="E45" s="59" t="s">
        <v>150</v>
      </c>
      <c r="F45" s="50">
        <f t="shared" si="13"/>
        <v>5</v>
      </c>
      <c r="G45" s="50"/>
      <c r="H45" s="50"/>
      <c r="I45" s="50">
        <v>4</v>
      </c>
      <c r="J45" s="50">
        <v>1</v>
      </c>
      <c r="K45" s="50"/>
      <c r="L45" s="50"/>
      <c r="M45" s="50"/>
      <c r="N45" s="50"/>
      <c r="O45" s="50">
        <f t="shared" si="14"/>
        <v>5</v>
      </c>
      <c r="P45" s="51">
        <f t="shared" si="0"/>
        <v>97.7483</v>
      </c>
      <c r="Q45" s="51">
        <f t="shared" si="1"/>
        <v>52.948299999999996</v>
      </c>
      <c r="R45" s="47">
        <f t="shared" si="15"/>
        <v>15655</v>
      </c>
      <c r="S45" s="58"/>
      <c r="T45" s="58">
        <v>15655</v>
      </c>
      <c r="U45" s="47">
        <f t="shared" si="16"/>
        <v>18.786000000000001</v>
      </c>
      <c r="V45" s="51">
        <f t="shared" si="2"/>
        <v>0</v>
      </c>
      <c r="W45" s="47">
        <f t="shared" si="17"/>
        <v>0</v>
      </c>
      <c r="X45" s="47"/>
      <c r="Y45" s="47"/>
      <c r="Z45" s="47"/>
      <c r="AA45" s="47"/>
      <c r="AB45" s="51">
        <f t="shared" si="18"/>
        <v>7.2</v>
      </c>
      <c r="AC45" s="47">
        <f t="shared" si="19"/>
        <v>0</v>
      </c>
      <c r="AD45" s="47"/>
      <c r="AE45" s="47"/>
      <c r="AF45" s="47">
        <f t="shared" si="20"/>
        <v>7.2</v>
      </c>
      <c r="AG45" s="47">
        <v>6000</v>
      </c>
      <c r="AH45" s="47"/>
      <c r="AI45" s="47">
        <f t="shared" si="21"/>
        <v>12.95</v>
      </c>
      <c r="AJ45" s="53">
        <f t="shared" si="22"/>
        <v>6.2298</v>
      </c>
      <c r="AK45" s="53">
        <f t="shared" si="23"/>
        <v>62298</v>
      </c>
      <c r="AL45" s="47"/>
      <c r="AM45" s="47">
        <f t="shared" si="3"/>
        <v>2.6976</v>
      </c>
      <c r="AN45" s="47">
        <f t="shared" si="4"/>
        <v>2.5388999999999999</v>
      </c>
      <c r="AO45" s="47">
        <f t="shared" si="24"/>
        <v>25389</v>
      </c>
      <c r="AP45" s="47">
        <f t="shared" si="5"/>
        <v>0.15870000000000001</v>
      </c>
      <c r="AQ45" s="47">
        <f t="shared" si="25"/>
        <v>1587</v>
      </c>
      <c r="AR45" s="47"/>
      <c r="AS45" s="47">
        <f t="shared" si="26"/>
        <v>0.41260000000000002</v>
      </c>
      <c r="AT45" s="47">
        <f t="shared" si="6"/>
        <v>0.19040000000000001</v>
      </c>
      <c r="AU45" s="47">
        <f t="shared" si="27"/>
        <v>1904.0000000000002</v>
      </c>
      <c r="AV45" s="47">
        <f t="shared" si="7"/>
        <v>0.22220000000000001</v>
      </c>
      <c r="AW45" s="47">
        <f t="shared" si="28"/>
        <v>2222</v>
      </c>
      <c r="AX45" s="47">
        <f t="shared" si="8"/>
        <v>4.6722999999999999</v>
      </c>
      <c r="AY45" s="47"/>
      <c r="AZ45" s="47"/>
      <c r="BA45" s="54">
        <v>1E-4</v>
      </c>
      <c r="BB45" s="54" t="s">
        <v>172</v>
      </c>
      <c r="BC45" s="51">
        <f t="shared" si="29"/>
        <v>44.8</v>
      </c>
      <c r="BD45" s="47">
        <f t="shared" si="32"/>
        <v>4.8</v>
      </c>
      <c r="BE45" s="47">
        <f t="shared" si="30"/>
        <v>0</v>
      </c>
      <c r="BF45" s="47"/>
      <c r="BG45" s="56">
        <v>40</v>
      </c>
      <c r="BH45" s="47"/>
      <c r="BI45" s="51">
        <f t="shared" si="10"/>
        <v>0</v>
      </c>
      <c r="BJ45" s="51">
        <f t="shared" si="11"/>
        <v>0</v>
      </c>
      <c r="BK45" s="47"/>
      <c r="BL45" s="47"/>
      <c r="BM45" s="47"/>
      <c r="BN45" s="47"/>
      <c r="BO45" s="47"/>
      <c r="BP45" s="47"/>
      <c r="BQ45" s="47"/>
      <c r="BR45" s="47"/>
      <c r="BS45" s="53"/>
      <c r="BT45" s="47"/>
      <c r="BU45" s="47"/>
      <c r="BV45" s="47"/>
      <c r="BW45" s="47"/>
      <c r="BX45" s="47"/>
      <c r="BY45" s="47"/>
      <c r="BZ45" s="47"/>
      <c r="CA45" s="47"/>
      <c r="CB45" s="54">
        <f t="shared" si="33"/>
        <v>97.7483</v>
      </c>
    </row>
    <row r="46" spans="1:80" ht="14.25" customHeight="1">
      <c r="A46" s="47">
        <v>39</v>
      </c>
      <c r="B46" s="47" t="s">
        <v>129</v>
      </c>
      <c r="C46" s="48">
        <v>807001</v>
      </c>
      <c r="D46" s="49" t="s">
        <v>173</v>
      </c>
      <c r="E46" s="49" t="s">
        <v>141</v>
      </c>
      <c r="F46" s="50">
        <f t="shared" si="13"/>
        <v>48</v>
      </c>
      <c r="G46" s="50">
        <v>29</v>
      </c>
      <c r="H46" s="50">
        <v>2</v>
      </c>
      <c r="I46" s="50">
        <v>17</v>
      </c>
      <c r="J46" s="50"/>
      <c r="K46" s="50"/>
      <c r="L46" s="50"/>
      <c r="M46" s="50"/>
      <c r="N46" s="50">
        <v>4</v>
      </c>
      <c r="O46" s="50">
        <f t="shared" si="14"/>
        <v>52</v>
      </c>
      <c r="P46" s="51">
        <f t="shared" si="0"/>
        <v>606.0856</v>
      </c>
      <c r="Q46" s="51">
        <f t="shared" si="1"/>
        <v>528.96159999999998</v>
      </c>
      <c r="R46" s="47">
        <f t="shared" si="15"/>
        <v>156765</v>
      </c>
      <c r="S46" s="58">
        <v>108239</v>
      </c>
      <c r="T46" s="51">
        <v>48526</v>
      </c>
      <c r="U46" s="47">
        <f t="shared" si="16"/>
        <v>188.11799999999999</v>
      </c>
      <c r="V46" s="51">
        <f t="shared" si="2"/>
        <v>69.75</v>
      </c>
      <c r="W46" s="47">
        <f t="shared" si="17"/>
        <v>69.75</v>
      </c>
      <c r="X46" s="47"/>
      <c r="Y46" s="47"/>
      <c r="Z46" s="47"/>
      <c r="AA46" s="47"/>
      <c r="AB46" s="51">
        <f t="shared" si="18"/>
        <v>89.30749999999999</v>
      </c>
      <c r="AC46" s="47">
        <f t="shared" si="19"/>
        <v>10.8239</v>
      </c>
      <c r="AD46" s="47"/>
      <c r="AE46" s="47"/>
      <c r="AF46" s="47">
        <f t="shared" si="20"/>
        <v>78.483599999999996</v>
      </c>
      <c r="AG46" s="47">
        <v>65403</v>
      </c>
      <c r="AH46" s="47"/>
      <c r="AI46" s="47">
        <f t="shared" si="21"/>
        <v>44.03</v>
      </c>
      <c r="AJ46" s="53">
        <f t="shared" si="22"/>
        <v>62.5929</v>
      </c>
      <c r="AK46" s="53">
        <f t="shared" si="23"/>
        <v>625929</v>
      </c>
      <c r="AL46" s="47"/>
      <c r="AM46" s="47">
        <f t="shared" si="3"/>
        <v>25.691299999999998</v>
      </c>
      <c r="AN46" s="47">
        <f t="shared" si="4"/>
        <v>24.181799999999999</v>
      </c>
      <c r="AO46" s="47">
        <f t="shared" si="24"/>
        <v>241818</v>
      </c>
      <c r="AP46" s="47">
        <f t="shared" si="5"/>
        <v>1.5095000000000001</v>
      </c>
      <c r="AQ46" s="47">
        <f t="shared" si="25"/>
        <v>15095</v>
      </c>
      <c r="AR46" s="47"/>
      <c r="AS46" s="47">
        <f t="shared" si="26"/>
        <v>2.5272000000000001</v>
      </c>
      <c r="AT46" s="47">
        <f t="shared" si="6"/>
        <v>1.8113999999999999</v>
      </c>
      <c r="AU46" s="47">
        <f t="shared" si="27"/>
        <v>18114</v>
      </c>
      <c r="AV46" s="47">
        <f t="shared" si="7"/>
        <v>0.71579999999999999</v>
      </c>
      <c r="AW46" s="47">
        <f t="shared" si="28"/>
        <v>7158</v>
      </c>
      <c r="AX46" s="47">
        <f t="shared" si="8"/>
        <v>46.944699999999997</v>
      </c>
      <c r="AY46" s="47"/>
      <c r="AZ46" s="47"/>
      <c r="BA46" s="54">
        <v>1E-4</v>
      </c>
      <c r="BB46" s="55" t="s">
        <v>173</v>
      </c>
      <c r="BC46" s="51">
        <f t="shared" si="29"/>
        <v>77.123999999999995</v>
      </c>
      <c r="BD46" s="47">
        <f t="shared" si="32"/>
        <v>53.519999999999996</v>
      </c>
      <c r="BE46" s="47">
        <f t="shared" si="30"/>
        <v>23.603999999999999</v>
      </c>
      <c r="BF46" s="47">
        <v>19670</v>
      </c>
      <c r="BG46" s="56">
        <v>0</v>
      </c>
      <c r="BH46" s="47"/>
      <c r="BI46" s="51">
        <f t="shared" si="10"/>
        <v>0</v>
      </c>
      <c r="BJ46" s="51">
        <f t="shared" si="11"/>
        <v>0</v>
      </c>
      <c r="BK46" s="47"/>
      <c r="BL46" s="47"/>
      <c r="BM46" s="47"/>
      <c r="BN46" s="47"/>
      <c r="BO46" s="47"/>
      <c r="BP46" s="47"/>
      <c r="BQ46" s="47"/>
      <c r="BR46" s="47"/>
      <c r="BS46" s="53"/>
      <c r="BT46" s="47"/>
      <c r="BU46" s="47"/>
      <c r="BV46" s="47"/>
      <c r="BW46" s="47"/>
      <c r="BX46" s="47"/>
      <c r="BY46" s="47"/>
      <c r="BZ46" s="47"/>
      <c r="CA46" s="47"/>
      <c r="CB46" s="54">
        <f t="shared" si="33"/>
        <v>606.0856</v>
      </c>
    </row>
    <row r="47" spans="1:80" ht="14.25" customHeight="1">
      <c r="A47" s="47">
        <v>40</v>
      </c>
      <c r="B47" s="47" t="s">
        <v>129</v>
      </c>
      <c r="C47" s="48">
        <v>809001</v>
      </c>
      <c r="D47" s="49" t="s">
        <v>174</v>
      </c>
      <c r="E47" s="49" t="s">
        <v>150</v>
      </c>
      <c r="F47" s="50">
        <f t="shared" si="13"/>
        <v>20</v>
      </c>
      <c r="G47" s="50"/>
      <c r="H47" s="50"/>
      <c r="I47" s="50">
        <v>20</v>
      </c>
      <c r="J47" s="50"/>
      <c r="K47" s="50"/>
      <c r="L47" s="50"/>
      <c r="M47" s="50"/>
      <c r="N47" s="50"/>
      <c r="O47" s="50">
        <f t="shared" si="14"/>
        <v>20</v>
      </c>
      <c r="P47" s="51">
        <f t="shared" si="0"/>
        <v>270.67759999999998</v>
      </c>
      <c r="Q47" s="51">
        <f t="shared" si="1"/>
        <v>230.4776</v>
      </c>
      <c r="R47" s="47">
        <f t="shared" si="15"/>
        <v>60262</v>
      </c>
      <c r="S47" s="58"/>
      <c r="T47" s="51">
        <v>60262</v>
      </c>
      <c r="U47" s="47">
        <f t="shared" si="16"/>
        <v>72.314400000000006</v>
      </c>
      <c r="V47" s="51">
        <f t="shared" si="2"/>
        <v>18.504000000000001</v>
      </c>
      <c r="W47" s="47">
        <f t="shared" si="17"/>
        <v>0</v>
      </c>
      <c r="X47" s="47">
        <v>18.504000000000001</v>
      </c>
      <c r="Y47" s="47"/>
      <c r="Z47" s="47"/>
      <c r="AA47" s="47"/>
      <c r="AB47" s="51">
        <f t="shared" si="18"/>
        <v>32.880000000000003</v>
      </c>
      <c r="AC47" s="47">
        <f t="shared" si="19"/>
        <v>0</v>
      </c>
      <c r="AD47" s="47">
        <v>4.08</v>
      </c>
      <c r="AE47" s="47"/>
      <c r="AF47" s="47">
        <f t="shared" si="20"/>
        <v>28.8</v>
      </c>
      <c r="AG47" s="47">
        <v>24000</v>
      </c>
      <c r="AH47" s="47"/>
      <c r="AI47" s="47">
        <f t="shared" si="21"/>
        <v>51.8</v>
      </c>
      <c r="AJ47" s="53">
        <f t="shared" si="22"/>
        <v>24.4663</v>
      </c>
      <c r="AK47" s="53">
        <f t="shared" si="23"/>
        <v>244663</v>
      </c>
      <c r="AL47" s="47"/>
      <c r="AM47" s="47">
        <f t="shared" si="3"/>
        <v>10.5497</v>
      </c>
      <c r="AN47" s="47">
        <f t="shared" si="4"/>
        <v>9.9291999999999998</v>
      </c>
      <c r="AO47" s="47">
        <f t="shared" si="24"/>
        <v>99292</v>
      </c>
      <c r="AP47" s="47">
        <f t="shared" si="5"/>
        <v>0.62060000000000004</v>
      </c>
      <c r="AQ47" s="47">
        <f t="shared" si="25"/>
        <v>6206</v>
      </c>
      <c r="AR47" s="47"/>
      <c r="AS47" s="47">
        <f t="shared" si="26"/>
        <v>1.6134999999999999</v>
      </c>
      <c r="AT47" s="47">
        <f t="shared" si="6"/>
        <v>0.74470000000000003</v>
      </c>
      <c r="AU47" s="47">
        <f t="shared" si="27"/>
        <v>7447</v>
      </c>
      <c r="AV47" s="47">
        <f t="shared" si="7"/>
        <v>0.86880000000000002</v>
      </c>
      <c r="AW47" s="47">
        <f t="shared" si="28"/>
        <v>8688</v>
      </c>
      <c r="AX47" s="47">
        <f t="shared" si="8"/>
        <v>18.349699999999999</v>
      </c>
      <c r="AY47" s="47"/>
      <c r="AZ47" s="47"/>
      <c r="BA47" s="54">
        <v>1E-4</v>
      </c>
      <c r="BB47" s="55" t="s">
        <v>174</v>
      </c>
      <c r="BC47" s="51">
        <f t="shared" si="29"/>
        <v>40.200000000000003</v>
      </c>
      <c r="BD47" s="47">
        <f t="shared" si="32"/>
        <v>19.2</v>
      </c>
      <c r="BE47" s="47">
        <f t="shared" si="30"/>
        <v>0</v>
      </c>
      <c r="BF47" s="47"/>
      <c r="BG47" s="56">
        <v>21</v>
      </c>
      <c r="BH47" s="47"/>
      <c r="BI47" s="51">
        <f t="shared" si="10"/>
        <v>0</v>
      </c>
      <c r="BJ47" s="51">
        <f t="shared" si="11"/>
        <v>0</v>
      </c>
      <c r="BK47" s="47"/>
      <c r="BL47" s="47"/>
      <c r="BM47" s="47"/>
      <c r="BN47" s="47"/>
      <c r="BO47" s="47"/>
      <c r="BP47" s="47"/>
      <c r="BQ47" s="47"/>
      <c r="BR47" s="47"/>
      <c r="BS47" s="53"/>
      <c r="BT47" s="47"/>
      <c r="BU47" s="47"/>
      <c r="BV47" s="47"/>
      <c r="BW47" s="47"/>
      <c r="BX47" s="47"/>
      <c r="BY47" s="47"/>
      <c r="BZ47" s="47"/>
      <c r="CA47" s="47"/>
      <c r="CB47" s="54">
        <f t="shared" si="33"/>
        <v>270.67759999999998</v>
      </c>
    </row>
    <row r="48" spans="1:80" ht="14.25" customHeight="1">
      <c r="A48" s="47">
        <v>41</v>
      </c>
      <c r="B48" s="47" t="s">
        <v>129</v>
      </c>
      <c r="C48" s="48">
        <v>811001</v>
      </c>
      <c r="D48" s="49" t="s">
        <v>175</v>
      </c>
      <c r="E48" s="49" t="s">
        <v>150</v>
      </c>
      <c r="F48" s="50">
        <f t="shared" si="13"/>
        <v>13</v>
      </c>
      <c r="G48" s="50"/>
      <c r="H48" s="50"/>
      <c r="I48" s="50">
        <v>12</v>
      </c>
      <c r="J48" s="50">
        <v>1</v>
      </c>
      <c r="K48" s="50"/>
      <c r="L48" s="50"/>
      <c r="M48" s="50"/>
      <c r="N48" s="50"/>
      <c r="O48" s="50">
        <f t="shared" si="14"/>
        <v>13</v>
      </c>
      <c r="P48" s="51">
        <f t="shared" si="0"/>
        <v>175.0189</v>
      </c>
      <c r="Q48" s="51">
        <f t="shared" si="1"/>
        <v>155.53890000000001</v>
      </c>
      <c r="R48" s="47">
        <f t="shared" si="15"/>
        <v>42506</v>
      </c>
      <c r="S48" s="58"/>
      <c r="T48" s="51">
        <v>42506</v>
      </c>
      <c r="U48" s="47">
        <f t="shared" si="16"/>
        <v>51.007199999999997</v>
      </c>
      <c r="V48" s="51">
        <f t="shared" si="2"/>
        <v>12.24</v>
      </c>
      <c r="W48" s="47">
        <f t="shared" si="17"/>
        <v>0</v>
      </c>
      <c r="X48" s="47">
        <v>12.24</v>
      </c>
      <c r="Y48" s="47"/>
      <c r="Z48" s="47"/>
      <c r="AA48" s="47"/>
      <c r="AB48" s="51">
        <f t="shared" si="18"/>
        <v>21.372</v>
      </c>
      <c r="AC48" s="47">
        <f t="shared" si="19"/>
        <v>0</v>
      </c>
      <c r="AD48" s="47">
        <v>2.6520000000000001</v>
      </c>
      <c r="AE48" s="47"/>
      <c r="AF48" s="47">
        <f t="shared" si="20"/>
        <v>18.72</v>
      </c>
      <c r="AG48" s="47">
        <v>15600</v>
      </c>
      <c r="AH48" s="47"/>
      <c r="AI48" s="47">
        <f t="shared" si="21"/>
        <v>33.67</v>
      </c>
      <c r="AJ48" s="53">
        <f t="shared" si="22"/>
        <v>16.543600000000001</v>
      </c>
      <c r="AK48" s="53">
        <f t="shared" si="23"/>
        <v>165436</v>
      </c>
      <c r="AL48" s="47"/>
      <c r="AM48" s="47">
        <f t="shared" si="3"/>
        <v>7.1976000000000004</v>
      </c>
      <c r="AN48" s="47">
        <f t="shared" si="4"/>
        <v>6.7742000000000004</v>
      </c>
      <c r="AO48" s="47">
        <f t="shared" si="24"/>
        <v>67742</v>
      </c>
      <c r="AP48" s="47">
        <f t="shared" si="5"/>
        <v>0.4234</v>
      </c>
      <c r="AQ48" s="47">
        <f t="shared" si="25"/>
        <v>4234</v>
      </c>
      <c r="AR48" s="47"/>
      <c r="AS48" s="47">
        <f t="shared" si="26"/>
        <v>1.1008</v>
      </c>
      <c r="AT48" s="47">
        <f t="shared" si="6"/>
        <v>0.5081</v>
      </c>
      <c r="AU48" s="47">
        <f t="shared" si="27"/>
        <v>5081</v>
      </c>
      <c r="AV48" s="47">
        <f t="shared" si="7"/>
        <v>0.5927</v>
      </c>
      <c r="AW48" s="47">
        <f t="shared" si="28"/>
        <v>5927</v>
      </c>
      <c r="AX48" s="47">
        <f t="shared" si="8"/>
        <v>12.4077</v>
      </c>
      <c r="AY48" s="47"/>
      <c r="AZ48" s="47"/>
      <c r="BA48" s="54">
        <v>1E-4</v>
      </c>
      <c r="BB48" s="55" t="s">
        <v>175</v>
      </c>
      <c r="BC48" s="51">
        <f t="shared" si="29"/>
        <v>19.48</v>
      </c>
      <c r="BD48" s="47">
        <f t="shared" si="32"/>
        <v>12.48</v>
      </c>
      <c r="BE48" s="47">
        <f t="shared" si="30"/>
        <v>0</v>
      </c>
      <c r="BF48" s="47"/>
      <c r="BG48" s="56">
        <v>7</v>
      </c>
      <c r="BH48" s="47"/>
      <c r="BI48" s="51">
        <f t="shared" si="10"/>
        <v>0</v>
      </c>
      <c r="BJ48" s="51">
        <f t="shared" si="11"/>
        <v>0</v>
      </c>
      <c r="BK48" s="47"/>
      <c r="BL48" s="47"/>
      <c r="BM48" s="47"/>
      <c r="BN48" s="47"/>
      <c r="BO48" s="47"/>
      <c r="BP48" s="47"/>
      <c r="BQ48" s="47"/>
      <c r="BR48" s="47"/>
      <c r="BS48" s="53"/>
      <c r="BT48" s="47"/>
      <c r="BU48" s="47"/>
      <c r="BV48" s="47"/>
      <c r="BW48" s="47"/>
      <c r="BX48" s="47"/>
      <c r="BY48" s="47"/>
      <c r="BZ48" s="47"/>
      <c r="CA48" s="47"/>
      <c r="CB48" s="54">
        <f t="shared" si="33"/>
        <v>175.0189</v>
      </c>
    </row>
    <row r="49" spans="1:80" ht="14.25" customHeight="1">
      <c r="A49" s="47">
        <v>42</v>
      </c>
      <c r="B49" s="47" t="s">
        <v>129</v>
      </c>
      <c r="C49" s="48">
        <v>812001</v>
      </c>
      <c r="D49" s="59" t="s">
        <v>176</v>
      </c>
      <c r="E49" s="59" t="s">
        <v>150</v>
      </c>
      <c r="F49" s="50">
        <f t="shared" si="13"/>
        <v>30</v>
      </c>
      <c r="G49" s="50"/>
      <c r="H49" s="50"/>
      <c r="I49" s="50">
        <v>18</v>
      </c>
      <c r="J49" s="50">
        <v>12</v>
      </c>
      <c r="K49" s="50"/>
      <c r="L49" s="50"/>
      <c r="M49" s="50"/>
      <c r="N49" s="50">
        <v>1</v>
      </c>
      <c r="O49" s="50">
        <f t="shared" si="14"/>
        <v>31</v>
      </c>
      <c r="P49" s="51">
        <f t="shared" si="0"/>
        <v>522.62799999999993</v>
      </c>
      <c r="Q49" s="51">
        <f t="shared" si="1"/>
        <v>362.57999999999993</v>
      </c>
      <c r="R49" s="47">
        <f t="shared" si="15"/>
        <v>101929</v>
      </c>
      <c r="S49" s="58"/>
      <c r="T49" s="51">
        <v>101929</v>
      </c>
      <c r="U49" s="47">
        <f t="shared" si="16"/>
        <v>122.31480000000001</v>
      </c>
      <c r="V49" s="51">
        <f t="shared" si="2"/>
        <v>25.536000000000001</v>
      </c>
      <c r="W49" s="47">
        <f t="shared" si="17"/>
        <v>0</v>
      </c>
      <c r="X49" s="47">
        <v>25.536000000000001</v>
      </c>
      <c r="Y49" s="47"/>
      <c r="Z49" s="47"/>
      <c r="AA49" s="47"/>
      <c r="AB49" s="51">
        <f t="shared" si="18"/>
        <v>49.32</v>
      </c>
      <c r="AC49" s="47">
        <f t="shared" si="19"/>
        <v>0</v>
      </c>
      <c r="AD49" s="47">
        <v>6.12</v>
      </c>
      <c r="AE49" s="47"/>
      <c r="AF49" s="47">
        <f t="shared" si="20"/>
        <v>43.2</v>
      </c>
      <c r="AG49" s="47">
        <v>36000</v>
      </c>
      <c r="AH49" s="47"/>
      <c r="AI49" s="47">
        <f t="shared" si="21"/>
        <v>77.7</v>
      </c>
      <c r="AJ49" s="53">
        <f t="shared" si="22"/>
        <v>38.914400000000001</v>
      </c>
      <c r="AK49" s="53">
        <f t="shared" si="23"/>
        <v>389144</v>
      </c>
      <c r="AL49" s="47"/>
      <c r="AM49" s="47">
        <f t="shared" si="3"/>
        <v>17.008800000000001</v>
      </c>
      <c r="AN49" s="47">
        <f t="shared" si="4"/>
        <v>16.008700000000001</v>
      </c>
      <c r="AO49" s="47">
        <f t="shared" si="24"/>
        <v>160087</v>
      </c>
      <c r="AP49" s="47">
        <f t="shared" si="5"/>
        <v>1.0001</v>
      </c>
      <c r="AQ49" s="47">
        <f t="shared" si="25"/>
        <v>10001</v>
      </c>
      <c r="AR49" s="47"/>
      <c r="AS49" s="47">
        <f t="shared" si="26"/>
        <v>2.6002000000000001</v>
      </c>
      <c r="AT49" s="47">
        <f t="shared" si="6"/>
        <v>1.2000999999999999</v>
      </c>
      <c r="AU49" s="47">
        <f t="shared" si="27"/>
        <v>12001</v>
      </c>
      <c r="AV49" s="47">
        <f t="shared" si="7"/>
        <v>1.4000999999999999</v>
      </c>
      <c r="AW49" s="47">
        <f t="shared" si="28"/>
        <v>14000.999999999998</v>
      </c>
      <c r="AX49" s="47">
        <f t="shared" si="8"/>
        <v>29.1858</v>
      </c>
      <c r="AY49" s="47"/>
      <c r="AZ49" s="47"/>
      <c r="BA49" s="54">
        <v>1E-4</v>
      </c>
      <c r="BB49" s="54" t="s">
        <v>176</v>
      </c>
      <c r="BC49" s="51">
        <f t="shared" si="29"/>
        <v>160.048</v>
      </c>
      <c r="BD49" s="47">
        <f t="shared" si="32"/>
        <v>28.799999999999997</v>
      </c>
      <c r="BE49" s="47">
        <f t="shared" si="30"/>
        <v>1.248</v>
      </c>
      <c r="BF49" s="47">
        <v>1040</v>
      </c>
      <c r="BG49" s="56">
        <v>130</v>
      </c>
      <c r="BH49" s="47"/>
      <c r="BI49" s="51">
        <f t="shared" si="10"/>
        <v>0</v>
      </c>
      <c r="BJ49" s="51">
        <f t="shared" si="11"/>
        <v>0</v>
      </c>
      <c r="BK49" s="47"/>
      <c r="BL49" s="47"/>
      <c r="BM49" s="47"/>
      <c r="BN49" s="47"/>
      <c r="BO49" s="47"/>
      <c r="BP49" s="47"/>
      <c r="BQ49" s="47"/>
      <c r="BR49" s="47"/>
      <c r="BS49" s="53"/>
      <c r="BT49" s="47"/>
      <c r="BU49" s="47"/>
      <c r="BV49" s="47"/>
      <c r="BW49" s="47"/>
      <c r="BX49" s="47"/>
      <c r="BY49" s="47"/>
      <c r="BZ49" s="47"/>
      <c r="CA49" s="47"/>
      <c r="CB49" s="54">
        <f t="shared" si="33"/>
        <v>522.62799999999993</v>
      </c>
    </row>
    <row r="50" spans="1:80" ht="14.25" customHeight="1">
      <c r="A50" s="47">
        <v>43</v>
      </c>
      <c r="B50" s="47" t="s">
        <v>129</v>
      </c>
      <c r="C50" s="48">
        <v>810001</v>
      </c>
      <c r="D50" s="49" t="s">
        <v>177</v>
      </c>
      <c r="E50" s="49" t="s">
        <v>131</v>
      </c>
      <c r="F50" s="50">
        <f t="shared" si="13"/>
        <v>16</v>
      </c>
      <c r="G50" s="50">
        <v>15</v>
      </c>
      <c r="H50" s="50">
        <v>1</v>
      </c>
      <c r="I50" s="50"/>
      <c r="J50" s="50"/>
      <c r="K50" s="50"/>
      <c r="L50" s="50"/>
      <c r="M50" s="50"/>
      <c r="N50" s="50">
        <v>12</v>
      </c>
      <c r="O50" s="50">
        <f t="shared" si="14"/>
        <v>28</v>
      </c>
      <c r="P50" s="51">
        <f t="shared" si="0"/>
        <v>392.23140000000001</v>
      </c>
      <c r="Q50" s="51">
        <f t="shared" si="1"/>
        <v>202.08340000000001</v>
      </c>
      <c r="R50" s="47">
        <f t="shared" si="15"/>
        <v>65295</v>
      </c>
      <c r="S50" s="58">
        <v>65295</v>
      </c>
      <c r="T50" s="51"/>
      <c r="U50" s="47">
        <f t="shared" si="16"/>
        <v>78.353999999999999</v>
      </c>
      <c r="V50" s="51">
        <f t="shared" si="2"/>
        <v>36</v>
      </c>
      <c r="W50" s="47">
        <f t="shared" si="17"/>
        <v>36</v>
      </c>
      <c r="X50" s="47"/>
      <c r="Y50" s="47"/>
      <c r="Z50" s="47"/>
      <c r="AA50" s="47"/>
      <c r="AB50" s="51">
        <f t="shared" si="18"/>
        <v>35.323500000000003</v>
      </c>
      <c r="AC50" s="47">
        <f t="shared" si="19"/>
        <v>6.5294999999999996</v>
      </c>
      <c r="AD50" s="47"/>
      <c r="AE50" s="47"/>
      <c r="AF50" s="47">
        <f t="shared" si="20"/>
        <v>28.794</v>
      </c>
      <c r="AG50" s="47">
        <v>23995</v>
      </c>
      <c r="AH50" s="47"/>
      <c r="AI50" s="47">
        <f t="shared" si="21"/>
        <v>0</v>
      </c>
      <c r="AJ50" s="53">
        <f t="shared" si="22"/>
        <v>23.948399999999999</v>
      </c>
      <c r="AK50" s="53">
        <f t="shared" si="23"/>
        <v>239484</v>
      </c>
      <c r="AL50" s="47"/>
      <c r="AM50" s="47">
        <f t="shared" si="3"/>
        <v>9.8101000000000003</v>
      </c>
      <c r="AN50" s="47">
        <f t="shared" si="4"/>
        <v>9.2383000000000006</v>
      </c>
      <c r="AO50" s="47">
        <f t="shared" si="24"/>
        <v>92383</v>
      </c>
      <c r="AP50" s="47">
        <f t="shared" si="5"/>
        <v>0.57179999999999997</v>
      </c>
      <c r="AQ50" s="47">
        <f t="shared" si="25"/>
        <v>5718</v>
      </c>
      <c r="AR50" s="47"/>
      <c r="AS50" s="47">
        <f t="shared" si="26"/>
        <v>0.68610000000000004</v>
      </c>
      <c r="AT50" s="47">
        <f t="shared" si="6"/>
        <v>0.68610000000000004</v>
      </c>
      <c r="AU50" s="47">
        <f t="shared" si="27"/>
        <v>6861</v>
      </c>
      <c r="AV50" s="47">
        <f t="shared" si="7"/>
        <v>0</v>
      </c>
      <c r="AW50" s="47">
        <f t="shared" si="28"/>
        <v>0</v>
      </c>
      <c r="AX50" s="47">
        <f t="shared" si="8"/>
        <v>17.961300000000001</v>
      </c>
      <c r="AY50" s="47"/>
      <c r="AZ50" s="47"/>
      <c r="BA50" s="54">
        <v>1E-4</v>
      </c>
      <c r="BB50" s="55" t="s">
        <v>177</v>
      </c>
      <c r="BC50" s="51">
        <f t="shared" si="29"/>
        <v>186.83600000000001</v>
      </c>
      <c r="BD50" s="47">
        <f t="shared" si="32"/>
        <v>19.2</v>
      </c>
      <c r="BE50" s="47">
        <f t="shared" si="30"/>
        <v>12.635999999999999</v>
      </c>
      <c r="BF50" s="47">
        <v>10530</v>
      </c>
      <c r="BG50" s="56">
        <v>155</v>
      </c>
      <c r="BH50" s="47"/>
      <c r="BI50" s="51">
        <f t="shared" si="10"/>
        <v>3.3119999999999998</v>
      </c>
      <c r="BJ50" s="51">
        <f t="shared" si="11"/>
        <v>0</v>
      </c>
      <c r="BK50" s="47"/>
      <c r="BL50" s="47"/>
      <c r="BM50" s="47"/>
      <c r="BN50" s="47"/>
      <c r="BO50" s="47"/>
      <c r="BP50" s="47">
        <v>3.3119999999999998</v>
      </c>
      <c r="BQ50" s="47"/>
      <c r="BR50" s="47"/>
      <c r="BS50" s="53"/>
      <c r="BT50" s="47"/>
      <c r="BU50" s="47"/>
      <c r="BV50" s="47"/>
      <c r="BW50" s="47"/>
      <c r="BX50" s="47"/>
      <c r="BY50" s="47"/>
      <c r="BZ50" s="47"/>
      <c r="CA50" s="47"/>
      <c r="CB50" s="54">
        <f t="shared" si="33"/>
        <v>392.23140000000001</v>
      </c>
    </row>
    <row r="51" spans="1:80" ht="14.25" customHeight="1">
      <c r="A51" s="47">
        <v>44</v>
      </c>
      <c r="B51" s="47" t="s">
        <v>129</v>
      </c>
      <c r="C51" s="48">
        <v>810005</v>
      </c>
      <c r="D51" s="49" t="s">
        <v>178</v>
      </c>
      <c r="E51" s="49" t="s">
        <v>150</v>
      </c>
      <c r="F51" s="50">
        <f t="shared" si="13"/>
        <v>188</v>
      </c>
      <c r="G51" s="50"/>
      <c r="H51" s="50"/>
      <c r="I51" s="50">
        <f>216-28</f>
        <v>188</v>
      </c>
      <c r="J51" s="50"/>
      <c r="K51" s="50"/>
      <c r="L51" s="50"/>
      <c r="M51" s="50"/>
      <c r="N51" s="50">
        <f>123-1</f>
        <v>122</v>
      </c>
      <c r="O51" s="50">
        <f t="shared" si="14"/>
        <v>310</v>
      </c>
      <c r="P51" s="51">
        <f t="shared" si="0"/>
        <v>2570.2530400000005</v>
      </c>
      <c r="Q51" s="51">
        <f t="shared" si="1"/>
        <v>2187.4490400000004</v>
      </c>
      <c r="R51" s="47">
        <f t="shared" si="15"/>
        <v>657963.19999999995</v>
      </c>
      <c r="S51" s="58"/>
      <c r="T51" s="51">
        <v>657963.19999999995</v>
      </c>
      <c r="U51" s="47">
        <f t="shared" si="16"/>
        <v>789.55583999999999</v>
      </c>
      <c r="V51" s="51">
        <f t="shared" si="2"/>
        <v>84.168000000000006</v>
      </c>
      <c r="W51" s="47">
        <f t="shared" si="17"/>
        <v>0</v>
      </c>
      <c r="X51" s="47">
        <v>84.168000000000006</v>
      </c>
      <c r="Y51" s="47"/>
      <c r="Z51" s="47"/>
      <c r="AA51" s="47"/>
      <c r="AB51" s="51">
        <f t="shared" si="18"/>
        <v>272.01600000000002</v>
      </c>
      <c r="AC51" s="47">
        <f t="shared" si="19"/>
        <v>0</v>
      </c>
      <c r="AD51" s="47">
        <v>17.135999999999999</v>
      </c>
      <c r="AE51" s="47"/>
      <c r="AF51" s="47">
        <f t="shared" si="20"/>
        <v>254.88</v>
      </c>
      <c r="AG51" s="47">
        <v>212400</v>
      </c>
      <c r="AH51" s="47"/>
      <c r="AI51" s="47">
        <f t="shared" si="21"/>
        <v>486.92</v>
      </c>
      <c r="AJ51" s="53">
        <f t="shared" si="22"/>
        <v>245.01689999999999</v>
      </c>
      <c r="AK51" s="53">
        <f t="shared" si="23"/>
        <v>2450169</v>
      </c>
      <c r="AL51" s="47"/>
      <c r="AM51" s="47">
        <f t="shared" si="3"/>
        <v>109.41540000000001</v>
      </c>
      <c r="AN51" s="47">
        <f t="shared" si="4"/>
        <v>103.0331</v>
      </c>
      <c r="AO51" s="47">
        <f t="shared" si="24"/>
        <v>1030331</v>
      </c>
      <c r="AP51" s="47">
        <f t="shared" si="5"/>
        <v>6.3823999999999996</v>
      </c>
      <c r="AQ51" s="47">
        <f t="shared" si="25"/>
        <v>63823.999999999993</v>
      </c>
      <c r="AR51" s="47"/>
      <c r="AS51" s="47">
        <f t="shared" si="26"/>
        <v>16.594200000000001</v>
      </c>
      <c r="AT51" s="47">
        <f t="shared" si="6"/>
        <v>7.6589</v>
      </c>
      <c r="AU51" s="47">
        <f t="shared" si="27"/>
        <v>76589</v>
      </c>
      <c r="AV51" s="47">
        <f t="shared" si="7"/>
        <v>8.9352999999999998</v>
      </c>
      <c r="AW51" s="47">
        <f t="shared" si="28"/>
        <v>89353</v>
      </c>
      <c r="AX51" s="47">
        <f t="shared" si="8"/>
        <v>183.7627</v>
      </c>
      <c r="AY51" s="47"/>
      <c r="AZ51" s="47"/>
      <c r="BA51" s="54">
        <v>1E-4</v>
      </c>
      <c r="BB51" s="55" t="s">
        <v>178</v>
      </c>
      <c r="BC51" s="51">
        <f t="shared" si="29"/>
        <v>340.48</v>
      </c>
      <c r="BD51" s="47">
        <f t="shared" si="32"/>
        <v>180.48</v>
      </c>
      <c r="BE51" s="47">
        <f t="shared" si="30"/>
        <v>0</v>
      </c>
      <c r="BF51" s="47"/>
      <c r="BG51" s="56">
        <v>140</v>
      </c>
      <c r="BH51" s="47">
        <v>20</v>
      </c>
      <c r="BI51" s="51">
        <f t="shared" si="10"/>
        <v>42.323999999999998</v>
      </c>
      <c r="BJ51" s="51">
        <f t="shared" si="11"/>
        <v>0</v>
      </c>
      <c r="BK51" s="47"/>
      <c r="BL51" s="47"/>
      <c r="BM51" s="47"/>
      <c r="BN51" s="47"/>
      <c r="BO51" s="47"/>
      <c r="BP51" s="47">
        <v>42.323999999999998</v>
      </c>
      <c r="BQ51" s="47"/>
      <c r="BR51" s="47"/>
      <c r="BS51" s="53"/>
      <c r="BT51" s="47"/>
      <c r="BU51" s="47"/>
      <c r="BV51" s="47"/>
      <c r="BW51" s="47"/>
      <c r="BX51" s="47"/>
      <c r="BY51" s="47"/>
      <c r="BZ51" s="47"/>
      <c r="CA51" s="47"/>
      <c r="CB51" s="54">
        <f t="shared" si="33"/>
        <v>2570.2530400000005</v>
      </c>
    </row>
    <row r="52" spans="1:80" ht="14.25" customHeight="1">
      <c r="A52" s="47">
        <v>45</v>
      </c>
      <c r="B52" s="47" t="s">
        <v>129</v>
      </c>
      <c r="C52" s="48">
        <v>810007</v>
      </c>
      <c r="D52" s="49" t="s">
        <v>179</v>
      </c>
      <c r="E52" s="49" t="s">
        <v>150</v>
      </c>
      <c r="F52" s="50">
        <f t="shared" si="13"/>
        <v>16</v>
      </c>
      <c r="G52" s="50"/>
      <c r="H52" s="50"/>
      <c r="I52" s="50">
        <f>27-11</f>
        <v>16</v>
      </c>
      <c r="J52" s="50"/>
      <c r="K52" s="50"/>
      <c r="L52" s="50"/>
      <c r="M52" s="50"/>
      <c r="N52" s="50"/>
      <c r="O52" s="50">
        <f t="shared" si="14"/>
        <v>16</v>
      </c>
      <c r="P52" s="51">
        <f t="shared" si="0"/>
        <v>213.12309999999997</v>
      </c>
      <c r="Q52" s="51">
        <f t="shared" si="1"/>
        <v>191.76309999999998</v>
      </c>
      <c r="R52" s="47">
        <f t="shared" si="15"/>
        <v>53483</v>
      </c>
      <c r="S52" s="58"/>
      <c r="T52" s="51">
        <v>53483</v>
      </c>
      <c r="U52" s="47">
        <f t="shared" si="16"/>
        <v>64.179599999999994</v>
      </c>
      <c r="V52" s="51">
        <f t="shared" si="2"/>
        <v>13.464</v>
      </c>
      <c r="W52" s="47">
        <f t="shared" si="17"/>
        <v>0</v>
      </c>
      <c r="X52" s="47">
        <v>13.464</v>
      </c>
      <c r="Y52" s="47"/>
      <c r="Z52" s="47"/>
      <c r="AA52" s="47"/>
      <c r="AB52" s="51">
        <f t="shared" si="18"/>
        <v>26.303999999999998</v>
      </c>
      <c r="AC52" s="47">
        <f t="shared" si="19"/>
        <v>0</v>
      </c>
      <c r="AD52" s="47">
        <v>3.2639999999999998</v>
      </c>
      <c r="AE52" s="47"/>
      <c r="AF52" s="47">
        <f t="shared" si="20"/>
        <v>23.04</v>
      </c>
      <c r="AG52" s="47">
        <v>19200</v>
      </c>
      <c r="AH52" s="47"/>
      <c r="AI52" s="47">
        <f t="shared" si="21"/>
        <v>41.44</v>
      </c>
      <c r="AJ52" s="53">
        <f t="shared" si="22"/>
        <v>20.5855</v>
      </c>
      <c r="AK52" s="53">
        <f t="shared" si="23"/>
        <v>205855</v>
      </c>
      <c r="AL52" s="47"/>
      <c r="AM52" s="47">
        <f t="shared" si="3"/>
        <v>8.9777000000000005</v>
      </c>
      <c r="AN52" s="47">
        <f t="shared" si="4"/>
        <v>8.4496000000000002</v>
      </c>
      <c r="AO52" s="47">
        <f t="shared" si="24"/>
        <v>84496</v>
      </c>
      <c r="AP52" s="47">
        <f t="shared" si="5"/>
        <v>0.52810000000000001</v>
      </c>
      <c r="AQ52" s="47">
        <f t="shared" si="25"/>
        <v>5281</v>
      </c>
      <c r="AR52" s="47"/>
      <c r="AS52" s="47">
        <f t="shared" si="26"/>
        <v>1.3731</v>
      </c>
      <c r="AT52" s="47">
        <f t="shared" si="6"/>
        <v>0.63370000000000004</v>
      </c>
      <c r="AU52" s="47">
        <f t="shared" si="27"/>
        <v>6337</v>
      </c>
      <c r="AV52" s="47">
        <f t="shared" si="7"/>
        <v>0.73929999999999996</v>
      </c>
      <c r="AW52" s="47">
        <f t="shared" si="28"/>
        <v>7393</v>
      </c>
      <c r="AX52" s="47">
        <f t="shared" si="8"/>
        <v>15.4392</v>
      </c>
      <c r="AY52" s="47"/>
      <c r="AZ52" s="47"/>
      <c r="BA52" s="54">
        <v>1E-4</v>
      </c>
      <c r="BB52" s="55" t="s">
        <v>179</v>
      </c>
      <c r="BC52" s="51">
        <f t="shared" si="29"/>
        <v>21.36</v>
      </c>
      <c r="BD52" s="47">
        <f t="shared" si="32"/>
        <v>15.36</v>
      </c>
      <c r="BE52" s="47">
        <f t="shared" si="30"/>
        <v>0</v>
      </c>
      <c r="BF52" s="47"/>
      <c r="BG52" s="56">
        <v>6</v>
      </c>
      <c r="BH52" s="47"/>
      <c r="BI52" s="51">
        <f t="shared" si="10"/>
        <v>0</v>
      </c>
      <c r="BJ52" s="51">
        <f t="shared" si="11"/>
        <v>0</v>
      </c>
      <c r="BK52" s="47"/>
      <c r="BL52" s="47"/>
      <c r="BM52" s="47"/>
      <c r="BN52" s="47"/>
      <c r="BO52" s="47"/>
      <c r="BP52" s="47"/>
      <c r="BQ52" s="47"/>
      <c r="BR52" s="47"/>
      <c r="BS52" s="53"/>
      <c r="BT52" s="47"/>
      <c r="BU52" s="47"/>
      <c r="BV52" s="47"/>
      <c r="BW52" s="47"/>
      <c r="BX52" s="47"/>
      <c r="BY52" s="47"/>
      <c r="BZ52" s="47"/>
      <c r="CA52" s="47"/>
      <c r="CB52" s="54">
        <f t="shared" si="33"/>
        <v>213.12309999999997</v>
      </c>
    </row>
    <row r="53" spans="1:80" ht="14.25" customHeight="1">
      <c r="A53" s="47">
        <v>46</v>
      </c>
      <c r="B53" s="47" t="s">
        <v>129</v>
      </c>
      <c r="C53" s="48">
        <v>810003</v>
      </c>
      <c r="D53" s="49" t="s">
        <v>180</v>
      </c>
      <c r="E53" s="49" t="s">
        <v>150</v>
      </c>
      <c r="F53" s="50">
        <f t="shared" si="13"/>
        <v>7</v>
      </c>
      <c r="G53" s="50"/>
      <c r="H53" s="50"/>
      <c r="I53" s="50">
        <f>8-1</f>
        <v>7</v>
      </c>
      <c r="J53" s="50"/>
      <c r="K53" s="50"/>
      <c r="L53" s="50"/>
      <c r="M53" s="50"/>
      <c r="N53" s="50">
        <v>4</v>
      </c>
      <c r="O53" s="50">
        <f t="shared" si="14"/>
        <v>11</v>
      </c>
      <c r="P53" s="51">
        <f t="shared" si="0"/>
        <v>96.555299999999988</v>
      </c>
      <c r="Q53" s="51">
        <f t="shared" si="1"/>
        <v>77.007299999999987</v>
      </c>
      <c r="R53" s="47">
        <f t="shared" si="15"/>
        <v>24755</v>
      </c>
      <c r="S53" s="58"/>
      <c r="T53" s="51">
        <v>24755</v>
      </c>
      <c r="U53" s="47">
        <f t="shared" si="16"/>
        <v>29.706</v>
      </c>
      <c r="V53" s="51">
        <f t="shared" si="2"/>
        <v>0</v>
      </c>
      <c r="W53" s="47">
        <f t="shared" si="17"/>
        <v>0</v>
      </c>
      <c r="X53" s="47"/>
      <c r="Y53" s="47"/>
      <c r="Z53" s="47"/>
      <c r="AA53" s="47"/>
      <c r="AB53" s="51">
        <f t="shared" si="18"/>
        <v>8.64</v>
      </c>
      <c r="AC53" s="47">
        <f t="shared" si="19"/>
        <v>0</v>
      </c>
      <c r="AD53" s="47"/>
      <c r="AE53" s="47"/>
      <c r="AF53" s="47">
        <f t="shared" si="20"/>
        <v>8.64</v>
      </c>
      <c r="AG53" s="47">
        <v>7200</v>
      </c>
      <c r="AH53" s="47"/>
      <c r="AI53" s="47">
        <f t="shared" si="21"/>
        <v>18.13</v>
      </c>
      <c r="AJ53" s="53">
        <f t="shared" si="22"/>
        <v>9.0361999999999991</v>
      </c>
      <c r="AK53" s="53">
        <f t="shared" si="23"/>
        <v>90361.999999999985</v>
      </c>
      <c r="AL53" s="47"/>
      <c r="AM53" s="47">
        <f t="shared" si="3"/>
        <v>4.0960999999999999</v>
      </c>
      <c r="AN53" s="47">
        <f t="shared" si="4"/>
        <v>3.8569</v>
      </c>
      <c r="AO53" s="47">
        <f t="shared" si="24"/>
        <v>38569</v>
      </c>
      <c r="AP53" s="47">
        <f t="shared" si="5"/>
        <v>0.2392</v>
      </c>
      <c r="AQ53" s="47">
        <f t="shared" si="25"/>
        <v>2392</v>
      </c>
      <c r="AR53" s="47"/>
      <c r="AS53" s="47">
        <f t="shared" si="26"/>
        <v>0.62190000000000001</v>
      </c>
      <c r="AT53" s="47">
        <f t="shared" si="6"/>
        <v>0.28699999999999998</v>
      </c>
      <c r="AU53" s="47">
        <f t="shared" si="27"/>
        <v>2870</v>
      </c>
      <c r="AV53" s="47">
        <f t="shared" si="7"/>
        <v>0.33489999999999998</v>
      </c>
      <c r="AW53" s="47">
        <f t="shared" si="28"/>
        <v>3348.9999999999995</v>
      </c>
      <c r="AX53" s="47">
        <f t="shared" si="8"/>
        <v>6.7770999999999999</v>
      </c>
      <c r="AY53" s="47"/>
      <c r="AZ53" s="47"/>
      <c r="BA53" s="54">
        <v>1E-4</v>
      </c>
      <c r="BB53" s="55" t="s">
        <v>180</v>
      </c>
      <c r="BC53" s="51">
        <f t="shared" si="29"/>
        <v>18.72</v>
      </c>
      <c r="BD53" s="47">
        <f t="shared" si="32"/>
        <v>6.72</v>
      </c>
      <c r="BE53" s="47">
        <f t="shared" si="30"/>
        <v>0</v>
      </c>
      <c r="BF53" s="47"/>
      <c r="BG53" s="56">
        <v>12</v>
      </c>
      <c r="BH53" s="47"/>
      <c r="BI53" s="51">
        <f t="shared" si="10"/>
        <v>0.82799999999999996</v>
      </c>
      <c r="BJ53" s="51">
        <f t="shared" si="11"/>
        <v>0</v>
      </c>
      <c r="BK53" s="47"/>
      <c r="BL53" s="47"/>
      <c r="BM53" s="47"/>
      <c r="BN53" s="47"/>
      <c r="BO53" s="47"/>
      <c r="BP53" s="47">
        <v>0.82799999999999996</v>
      </c>
      <c r="BQ53" s="47"/>
      <c r="BR53" s="47"/>
      <c r="BS53" s="53"/>
      <c r="BT53" s="47"/>
      <c r="BU53" s="47"/>
      <c r="BV53" s="47"/>
      <c r="BW53" s="47"/>
      <c r="BX53" s="47"/>
      <c r="BY53" s="47"/>
      <c r="BZ53" s="47"/>
      <c r="CA53" s="47"/>
      <c r="CB53" s="54">
        <f t="shared" si="33"/>
        <v>96.555299999999988</v>
      </c>
    </row>
    <row r="54" spans="1:80" ht="14.25" customHeight="1">
      <c r="A54" s="47">
        <v>47</v>
      </c>
      <c r="B54" s="47" t="s">
        <v>129</v>
      </c>
      <c r="C54" s="48">
        <v>810002</v>
      </c>
      <c r="D54" s="49" t="s">
        <v>181</v>
      </c>
      <c r="E54" s="49" t="s">
        <v>150</v>
      </c>
      <c r="F54" s="50">
        <f t="shared" si="13"/>
        <v>32</v>
      </c>
      <c r="G54" s="50"/>
      <c r="H54" s="50"/>
      <c r="I54" s="50">
        <v>32</v>
      </c>
      <c r="J54" s="50"/>
      <c r="K54" s="50"/>
      <c r="L54" s="50"/>
      <c r="M54" s="50"/>
      <c r="N54" s="50">
        <v>17</v>
      </c>
      <c r="O54" s="50">
        <f t="shared" si="14"/>
        <v>49</v>
      </c>
      <c r="P54" s="51">
        <f t="shared" si="0"/>
        <v>445.17509999999999</v>
      </c>
      <c r="Q54" s="51">
        <f t="shared" si="1"/>
        <v>343.03910000000002</v>
      </c>
      <c r="R54" s="47">
        <f t="shared" si="15"/>
        <v>102637</v>
      </c>
      <c r="S54" s="58"/>
      <c r="T54" s="51">
        <v>102637</v>
      </c>
      <c r="U54" s="47">
        <f t="shared" si="16"/>
        <v>123.1644</v>
      </c>
      <c r="V54" s="51">
        <f t="shared" si="2"/>
        <v>0</v>
      </c>
      <c r="W54" s="47">
        <f t="shared" si="17"/>
        <v>0</v>
      </c>
      <c r="X54" s="47"/>
      <c r="Y54" s="47"/>
      <c r="Z54" s="47"/>
      <c r="AA54" s="47"/>
      <c r="AB54" s="51">
        <f t="shared" si="18"/>
        <v>46.08</v>
      </c>
      <c r="AC54" s="47">
        <f t="shared" si="19"/>
        <v>0</v>
      </c>
      <c r="AD54" s="47"/>
      <c r="AE54" s="47"/>
      <c r="AF54" s="47">
        <f t="shared" si="20"/>
        <v>46.08</v>
      </c>
      <c r="AG54" s="47">
        <v>38400</v>
      </c>
      <c r="AH54" s="47"/>
      <c r="AI54" s="47">
        <f t="shared" si="21"/>
        <v>82.88</v>
      </c>
      <c r="AJ54" s="53">
        <f t="shared" si="22"/>
        <v>40.3399</v>
      </c>
      <c r="AK54" s="53">
        <f t="shared" si="23"/>
        <v>403399</v>
      </c>
      <c r="AL54" s="47"/>
      <c r="AM54" s="47">
        <f t="shared" si="3"/>
        <v>17.641300000000001</v>
      </c>
      <c r="AN54" s="47">
        <f t="shared" si="4"/>
        <v>16.6111</v>
      </c>
      <c r="AO54" s="47">
        <f t="shared" si="24"/>
        <v>166111</v>
      </c>
      <c r="AP54" s="47">
        <f t="shared" si="5"/>
        <v>1.0302</v>
      </c>
      <c r="AQ54" s="47">
        <f t="shared" si="25"/>
        <v>10302</v>
      </c>
      <c r="AR54" s="47"/>
      <c r="AS54" s="47">
        <f t="shared" si="26"/>
        <v>2.6785999999999999</v>
      </c>
      <c r="AT54" s="47">
        <f t="shared" si="6"/>
        <v>1.2363</v>
      </c>
      <c r="AU54" s="47">
        <f t="shared" si="27"/>
        <v>12363</v>
      </c>
      <c r="AV54" s="47">
        <f t="shared" si="7"/>
        <v>1.4422999999999999</v>
      </c>
      <c r="AW54" s="47">
        <f t="shared" si="28"/>
        <v>14423</v>
      </c>
      <c r="AX54" s="47">
        <f t="shared" si="8"/>
        <v>30.254899999999999</v>
      </c>
      <c r="AY54" s="47"/>
      <c r="AZ54" s="47"/>
      <c r="BA54" s="54">
        <v>1E-4</v>
      </c>
      <c r="BB54" s="55" t="s">
        <v>181</v>
      </c>
      <c r="BC54" s="51">
        <f t="shared" si="29"/>
        <v>97.72</v>
      </c>
      <c r="BD54" s="47">
        <f t="shared" si="32"/>
        <v>30.72</v>
      </c>
      <c r="BE54" s="47">
        <f t="shared" si="30"/>
        <v>0</v>
      </c>
      <c r="BF54" s="47"/>
      <c r="BG54" s="56">
        <v>67</v>
      </c>
      <c r="BH54" s="47"/>
      <c r="BI54" s="51">
        <f t="shared" si="10"/>
        <v>4.4160000000000004</v>
      </c>
      <c r="BJ54" s="51">
        <f t="shared" si="11"/>
        <v>0</v>
      </c>
      <c r="BK54" s="47"/>
      <c r="BL54" s="47"/>
      <c r="BM54" s="47"/>
      <c r="BN54" s="47"/>
      <c r="BO54" s="47"/>
      <c r="BP54" s="47">
        <v>4.4160000000000004</v>
      </c>
      <c r="BQ54" s="47"/>
      <c r="BR54" s="47"/>
      <c r="BS54" s="53"/>
      <c r="BT54" s="47"/>
      <c r="BU54" s="47"/>
      <c r="BV54" s="47"/>
      <c r="BW54" s="47"/>
      <c r="BX54" s="47"/>
      <c r="BY54" s="47"/>
      <c r="BZ54" s="47"/>
      <c r="CA54" s="47"/>
      <c r="CB54" s="54">
        <f t="shared" si="33"/>
        <v>445.17509999999999</v>
      </c>
    </row>
    <row r="55" spans="1:80" ht="14.25" customHeight="1">
      <c r="A55" s="47">
        <v>48</v>
      </c>
      <c r="B55" s="47" t="s">
        <v>129</v>
      </c>
      <c r="C55" s="48">
        <v>810006</v>
      </c>
      <c r="D55" s="49" t="s">
        <v>182</v>
      </c>
      <c r="E55" s="49" t="s">
        <v>150</v>
      </c>
      <c r="F55" s="50">
        <f t="shared" si="13"/>
        <v>9</v>
      </c>
      <c r="G55" s="50"/>
      <c r="H55" s="50"/>
      <c r="I55" s="50">
        <f>16-7</f>
        <v>9</v>
      </c>
      <c r="J55" s="50"/>
      <c r="K55" s="50"/>
      <c r="L55" s="50"/>
      <c r="M55" s="50"/>
      <c r="N55" s="50"/>
      <c r="O55" s="50">
        <f t="shared" si="14"/>
        <v>9</v>
      </c>
      <c r="P55" s="51">
        <f t="shared" si="0"/>
        <v>137.47699999999998</v>
      </c>
      <c r="Q55" s="51">
        <f t="shared" si="1"/>
        <v>95.276999999999987</v>
      </c>
      <c r="R55" s="47">
        <f t="shared" si="15"/>
        <v>28161</v>
      </c>
      <c r="S55" s="58"/>
      <c r="T55" s="51">
        <v>28161</v>
      </c>
      <c r="U55" s="47">
        <f t="shared" si="16"/>
        <v>33.793199999999999</v>
      </c>
      <c r="V55" s="51">
        <f t="shared" si="2"/>
        <v>0</v>
      </c>
      <c r="W55" s="47">
        <f t="shared" si="17"/>
        <v>0</v>
      </c>
      <c r="X55" s="47"/>
      <c r="Y55" s="47"/>
      <c r="Z55" s="47"/>
      <c r="AA55" s="47"/>
      <c r="AB55" s="51">
        <f t="shared" si="18"/>
        <v>12.96</v>
      </c>
      <c r="AC55" s="47">
        <f t="shared" si="19"/>
        <v>0</v>
      </c>
      <c r="AD55" s="47"/>
      <c r="AE55" s="47"/>
      <c r="AF55" s="47">
        <f t="shared" si="20"/>
        <v>12.96</v>
      </c>
      <c r="AG55" s="47">
        <v>10800</v>
      </c>
      <c r="AH55" s="47"/>
      <c r="AI55" s="47">
        <f t="shared" si="21"/>
        <v>23.31</v>
      </c>
      <c r="AJ55" s="53">
        <f t="shared" si="22"/>
        <v>11.210100000000001</v>
      </c>
      <c r="AK55" s="53">
        <f t="shared" si="23"/>
        <v>112101</v>
      </c>
      <c r="AL55" s="47"/>
      <c r="AM55" s="47">
        <f t="shared" si="3"/>
        <v>4.8537999999999997</v>
      </c>
      <c r="AN55" s="47">
        <f t="shared" si="4"/>
        <v>4.5682999999999998</v>
      </c>
      <c r="AO55" s="47">
        <f t="shared" si="24"/>
        <v>45683</v>
      </c>
      <c r="AP55" s="47">
        <f t="shared" si="5"/>
        <v>0.28549999999999998</v>
      </c>
      <c r="AQ55" s="47">
        <f t="shared" si="25"/>
        <v>2854.9999999999995</v>
      </c>
      <c r="AR55" s="47"/>
      <c r="AS55" s="47">
        <f t="shared" si="26"/>
        <v>0.74229999999999996</v>
      </c>
      <c r="AT55" s="47">
        <f t="shared" si="6"/>
        <v>0.34260000000000002</v>
      </c>
      <c r="AU55" s="47">
        <f t="shared" si="27"/>
        <v>3426</v>
      </c>
      <c r="AV55" s="47">
        <f t="shared" si="7"/>
        <v>0.3997</v>
      </c>
      <c r="AW55" s="47">
        <f t="shared" si="28"/>
        <v>3997</v>
      </c>
      <c r="AX55" s="47">
        <f t="shared" si="8"/>
        <v>8.4076000000000004</v>
      </c>
      <c r="AY55" s="47"/>
      <c r="AZ55" s="47"/>
      <c r="BA55" s="54">
        <v>1E-4</v>
      </c>
      <c r="BB55" s="55" t="s">
        <v>182</v>
      </c>
      <c r="BC55" s="51">
        <f t="shared" si="29"/>
        <v>34.64</v>
      </c>
      <c r="BD55" s="47">
        <f t="shared" si="32"/>
        <v>8.64</v>
      </c>
      <c r="BE55" s="47">
        <f t="shared" si="30"/>
        <v>0</v>
      </c>
      <c r="BF55" s="47"/>
      <c r="BG55" s="56">
        <v>26</v>
      </c>
      <c r="BH55" s="47"/>
      <c r="BI55" s="51">
        <f t="shared" si="10"/>
        <v>7.56</v>
      </c>
      <c r="BJ55" s="51">
        <f t="shared" si="11"/>
        <v>0</v>
      </c>
      <c r="BK55" s="47"/>
      <c r="BL55" s="47"/>
      <c r="BM55" s="47"/>
      <c r="BN55" s="47"/>
      <c r="BO55" s="47"/>
      <c r="BP55" s="47"/>
      <c r="BQ55" s="47"/>
      <c r="BR55" s="47"/>
      <c r="BS55" s="53"/>
      <c r="BT55" s="47"/>
      <c r="BU55" s="47"/>
      <c r="BV55" s="47"/>
      <c r="BW55" s="47">
        <v>7.56</v>
      </c>
      <c r="BX55" s="47"/>
      <c r="BY55" s="47"/>
      <c r="BZ55" s="47"/>
      <c r="CA55" s="47"/>
      <c r="CB55" s="54">
        <f t="shared" si="33"/>
        <v>137.47699999999998</v>
      </c>
    </row>
    <row r="56" spans="1:80" ht="14.25" customHeight="1">
      <c r="A56" s="47">
        <v>49</v>
      </c>
      <c r="B56" s="47" t="s">
        <v>129</v>
      </c>
      <c r="C56" s="48">
        <v>810008</v>
      </c>
      <c r="D56" s="49" t="s">
        <v>183</v>
      </c>
      <c r="E56" s="49" t="s">
        <v>150</v>
      </c>
      <c r="F56" s="50">
        <f t="shared" si="13"/>
        <v>70</v>
      </c>
      <c r="G56" s="50"/>
      <c r="H56" s="50"/>
      <c r="I56" s="50">
        <f>23+28+7+1+11</f>
        <v>70</v>
      </c>
      <c r="J56" s="50"/>
      <c r="K56" s="50"/>
      <c r="L56" s="50"/>
      <c r="M56" s="50"/>
      <c r="N56" s="50"/>
      <c r="O56" s="50">
        <f t="shared" si="14"/>
        <v>70</v>
      </c>
      <c r="P56" s="51">
        <f t="shared" si="0"/>
        <v>1081.739</v>
      </c>
      <c r="Q56" s="51">
        <f t="shared" si="1"/>
        <v>764.53899999999999</v>
      </c>
      <c r="R56" s="47">
        <f t="shared" si="15"/>
        <v>222484</v>
      </c>
      <c r="S56" s="58"/>
      <c r="T56" s="51">
        <v>222484</v>
      </c>
      <c r="U56" s="47">
        <f t="shared" si="16"/>
        <v>266.98079999999999</v>
      </c>
      <c r="V56" s="51">
        <f t="shared" si="2"/>
        <v>12.48</v>
      </c>
      <c r="W56" s="47">
        <f t="shared" si="17"/>
        <v>0</v>
      </c>
      <c r="X56" s="47">
        <v>12.48</v>
      </c>
      <c r="Y56" s="47"/>
      <c r="Z56" s="47"/>
      <c r="AA56" s="47"/>
      <c r="AB56" s="51">
        <f t="shared" si="18"/>
        <v>106.104</v>
      </c>
      <c r="AC56" s="47">
        <f t="shared" si="19"/>
        <v>0</v>
      </c>
      <c r="AD56" s="47">
        <v>5.3040000000000003</v>
      </c>
      <c r="AE56" s="47"/>
      <c r="AF56" s="47">
        <f t="shared" si="20"/>
        <v>100.8</v>
      </c>
      <c r="AG56" s="47">
        <f>70*1200</f>
        <v>84000</v>
      </c>
      <c r="AH56" s="47"/>
      <c r="AI56" s="47">
        <f t="shared" si="21"/>
        <v>181.3</v>
      </c>
      <c r="AJ56" s="53">
        <f t="shared" si="22"/>
        <v>87.852900000000005</v>
      </c>
      <c r="AK56" s="53">
        <f t="shared" si="23"/>
        <v>878529</v>
      </c>
      <c r="AL56" s="47"/>
      <c r="AM56" s="47">
        <f t="shared" si="3"/>
        <v>38.103900000000003</v>
      </c>
      <c r="AN56" s="47">
        <f t="shared" si="4"/>
        <v>35.862499999999997</v>
      </c>
      <c r="AO56" s="47">
        <f t="shared" si="24"/>
        <v>358625</v>
      </c>
      <c r="AP56" s="47">
        <f t="shared" si="5"/>
        <v>2.2414000000000001</v>
      </c>
      <c r="AQ56" s="47">
        <f t="shared" si="25"/>
        <v>22414</v>
      </c>
      <c r="AR56" s="47"/>
      <c r="AS56" s="47">
        <f t="shared" si="26"/>
        <v>5.8277000000000001</v>
      </c>
      <c r="AT56" s="47">
        <f t="shared" si="6"/>
        <v>2.6897000000000002</v>
      </c>
      <c r="AU56" s="47">
        <f t="shared" si="27"/>
        <v>26897.000000000004</v>
      </c>
      <c r="AV56" s="47">
        <f t="shared" si="7"/>
        <v>3.1379999999999999</v>
      </c>
      <c r="AW56" s="47">
        <f t="shared" si="28"/>
        <v>31380</v>
      </c>
      <c r="AX56" s="47">
        <f t="shared" si="8"/>
        <v>65.889700000000005</v>
      </c>
      <c r="AY56" s="47"/>
      <c r="AZ56" s="47"/>
      <c r="BA56" s="54">
        <v>1E-4</v>
      </c>
      <c r="BB56" s="55" t="s">
        <v>183</v>
      </c>
      <c r="BC56" s="51">
        <f t="shared" si="29"/>
        <v>317.2</v>
      </c>
      <c r="BD56" s="47">
        <f t="shared" si="32"/>
        <v>67.2</v>
      </c>
      <c r="BE56" s="47">
        <f t="shared" si="30"/>
        <v>0</v>
      </c>
      <c r="BF56" s="47"/>
      <c r="BG56" s="56">
        <v>190</v>
      </c>
      <c r="BH56" s="47">
        <v>60</v>
      </c>
      <c r="BI56" s="51">
        <f t="shared" si="10"/>
        <v>0</v>
      </c>
      <c r="BJ56" s="51">
        <f t="shared" si="11"/>
        <v>0</v>
      </c>
      <c r="BK56" s="47"/>
      <c r="BL56" s="47"/>
      <c r="BM56" s="47"/>
      <c r="BN56" s="47"/>
      <c r="BO56" s="47"/>
      <c r="BP56" s="47"/>
      <c r="BQ56" s="47"/>
      <c r="BR56" s="47"/>
      <c r="BS56" s="53"/>
      <c r="BT56" s="47"/>
      <c r="BU56" s="47"/>
      <c r="BV56" s="47"/>
      <c r="BW56" s="47"/>
      <c r="BX56" s="47"/>
      <c r="BY56" s="47"/>
      <c r="BZ56" s="47"/>
      <c r="CA56" s="47"/>
      <c r="CB56" s="54">
        <f t="shared" si="33"/>
        <v>1081.739</v>
      </c>
    </row>
    <row r="57" spans="1:80" ht="14.25" customHeight="1">
      <c r="A57" s="47">
        <v>50</v>
      </c>
      <c r="B57" s="47" t="s">
        <v>129</v>
      </c>
      <c r="C57" s="48">
        <v>804001</v>
      </c>
      <c r="D57" s="49" t="s">
        <v>184</v>
      </c>
      <c r="E57" s="49" t="s">
        <v>131</v>
      </c>
      <c r="F57" s="50">
        <f t="shared" si="13"/>
        <v>106</v>
      </c>
      <c r="G57" s="50">
        <f>50-15</f>
        <v>35</v>
      </c>
      <c r="H57" s="50">
        <v>1</v>
      </c>
      <c r="I57" s="50">
        <v>38</v>
      </c>
      <c r="J57" s="50">
        <f>34-2</f>
        <v>32</v>
      </c>
      <c r="K57" s="50"/>
      <c r="L57" s="50"/>
      <c r="M57" s="50"/>
      <c r="N57" s="50">
        <v>36</v>
      </c>
      <c r="O57" s="50">
        <f t="shared" si="14"/>
        <v>142</v>
      </c>
      <c r="P57" s="51">
        <f t="shared" si="0"/>
        <v>3263.4852999999998</v>
      </c>
      <c r="Q57" s="51">
        <f t="shared" si="1"/>
        <v>1239.4017000000001</v>
      </c>
      <c r="R57" s="47">
        <f t="shared" si="15"/>
        <v>345939</v>
      </c>
      <c r="S57" s="58">
        <v>140424</v>
      </c>
      <c r="T57" s="51">
        <v>205515</v>
      </c>
      <c r="U57" s="47">
        <f t="shared" si="16"/>
        <v>415.1268</v>
      </c>
      <c r="V57" s="51">
        <f t="shared" si="2"/>
        <v>150.12</v>
      </c>
      <c r="W57" s="47">
        <f t="shared" si="17"/>
        <v>81</v>
      </c>
      <c r="X57" s="47">
        <v>69.12</v>
      </c>
      <c r="Y57" s="47"/>
      <c r="Z57" s="47"/>
      <c r="AA57" s="47"/>
      <c r="AB57" s="51">
        <f t="shared" si="18"/>
        <v>188.55360000000002</v>
      </c>
      <c r="AC57" s="47">
        <f t="shared" si="19"/>
        <v>14.042400000000001</v>
      </c>
      <c r="AD57" s="47">
        <v>11.016</v>
      </c>
      <c r="AE57" s="47"/>
      <c r="AF57" s="47">
        <f t="shared" si="20"/>
        <v>163.49520000000001</v>
      </c>
      <c r="AG57" s="47">
        <v>136246</v>
      </c>
      <c r="AH57" s="47"/>
      <c r="AI57" s="47">
        <f t="shared" si="21"/>
        <v>181.3</v>
      </c>
      <c r="AJ57" s="53">
        <f t="shared" si="22"/>
        <v>136.79429999999999</v>
      </c>
      <c r="AK57" s="53">
        <f t="shared" si="23"/>
        <v>1367943</v>
      </c>
      <c r="AL57" s="47"/>
      <c r="AM57" s="47">
        <f t="shared" si="3"/>
        <v>57.851300000000002</v>
      </c>
      <c r="AN57" s="47">
        <f t="shared" si="4"/>
        <v>54.464100000000002</v>
      </c>
      <c r="AO57" s="47">
        <f t="shared" si="24"/>
        <v>544641</v>
      </c>
      <c r="AP57" s="47">
        <f t="shared" si="5"/>
        <v>3.3871000000000002</v>
      </c>
      <c r="AQ57" s="47">
        <f t="shared" si="25"/>
        <v>33871</v>
      </c>
      <c r="AR57" s="47"/>
      <c r="AS57" s="47">
        <f t="shared" si="26"/>
        <v>7.06</v>
      </c>
      <c r="AT57" s="47">
        <f t="shared" si="6"/>
        <v>4.0646000000000004</v>
      </c>
      <c r="AU57" s="47">
        <f t="shared" si="27"/>
        <v>40646.000000000007</v>
      </c>
      <c r="AV57" s="47">
        <f t="shared" si="7"/>
        <v>2.9954000000000001</v>
      </c>
      <c r="AW57" s="47">
        <f t="shared" si="28"/>
        <v>29954</v>
      </c>
      <c r="AX57" s="47">
        <f t="shared" si="8"/>
        <v>102.59569999999999</v>
      </c>
      <c r="AY57" s="47"/>
      <c r="AZ57" s="47"/>
      <c r="BA57" s="54">
        <v>1E-4</v>
      </c>
      <c r="BB57" s="55" t="s">
        <v>184</v>
      </c>
      <c r="BC57" s="51">
        <f t="shared" si="29"/>
        <v>2019.556</v>
      </c>
      <c r="BD57" s="47">
        <f t="shared" si="32"/>
        <v>110.4</v>
      </c>
      <c r="BE57" s="47">
        <f t="shared" si="30"/>
        <v>27.155999999999999</v>
      </c>
      <c r="BF57" s="47">
        <v>22630</v>
      </c>
      <c r="BG57" s="56">
        <v>600</v>
      </c>
      <c r="BH57" s="47">
        <v>1282</v>
      </c>
      <c r="BI57" s="51">
        <f t="shared" si="10"/>
        <v>4.5275999999999996</v>
      </c>
      <c r="BJ57" s="51">
        <f t="shared" si="11"/>
        <v>0</v>
      </c>
      <c r="BK57" s="47"/>
      <c r="BL57" s="47"/>
      <c r="BM57" s="47"/>
      <c r="BN57" s="47"/>
      <c r="BO57" s="47"/>
      <c r="BP57" s="47">
        <v>4.5275999999999996</v>
      </c>
      <c r="BQ57" s="47"/>
      <c r="BR57" s="47"/>
      <c r="BS57" s="53"/>
      <c r="BT57" s="47"/>
      <c r="BU57" s="47"/>
      <c r="BV57" s="47"/>
      <c r="BW57" s="47"/>
      <c r="BX57" s="47"/>
      <c r="BY57" s="47"/>
      <c r="BZ57" s="47"/>
      <c r="CA57" s="47"/>
      <c r="CB57" s="54">
        <f t="shared" si="33"/>
        <v>3263.4852999999998</v>
      </c>
    </row>
    <row r="58" spans="1:80" ht="14.25" customHeight="1">
      <c r="A58" s="47">
        <v>51</v>
      </c>
      <c r="B58" s="47" t="s">
        <v>129</v>
      </c>
      <c r="C58" s="48">
        <v>804002</v>
      </c>
      <c r="D58" s="49" t="s">
        <v>185</v>
      </c>
      <c r="E58" s="49" t="s">
        <v>150</v>
      </c>
      <c r="F58" s="50">
        <f t="shared" si="13"/>
        <v>34</v>
      </c>
      <c r="G58" s="50"/>
      <c r="H58" s="50"/>
      <c r="I58" s="50">
        <v>30</v>
      </c>
      <c r="J58" s="50">
        <v>4</v>
      </c>
      <c r="K58" s="50"/>
      <c r="L58" s="50"/>
      <c r="M58" s="50"/>
      <c r="N58" s="50">
        <v>8</v>
      </c>
      <c r="O58" s="50">
        <f t="shared" si="14"/>
        <v>42</v>
      </c>
      <c r="P58" s="51">
        <f t="shared" si="0"/>
        <v>457.53519999999997</v>
      </c>
      <c r="Q58" s="51">
        <f t="shared" si="1"/>
        <v>354.06720000000001</v>
      </c>
      <c r="R58" s="47">
        <f t="shared" si="15"/>
        <v>102801</v>
      </c>
      <c r="S58" s="58"/>
      <c r="T58" s="51">
        <v>102801</v>
      </c>
      <c r="U58" s="47">
        <f t="shared" si="16"/>
        <v>123.3612</v>
      </c>
      <c r="V58" s="51">
        <f t="shared" si="2"/>
        <v>0</v>
      </c>
      <c r="W58" s="47">
        <f t="shared" si="17"/>
        <v>0</v>
      </c>
      <c r="X58" s="47"/>
      <c r="Y58" s="47"/>
      <c r="Z58" s="47"/>
      <c r="AA58" s="47"/>
      <c r="AB58" s="51">
        <f t="shared" si="18"/>
        <v>48.96</v>
      </c>
      <c r="AC58" s="47">
        <f t="shared" si="19"/>
        <v>0</v>
      </c>
      <c r="AD58" s="47"/>
      <c r="AE58" s="47"/>
      <c r="AF58" s="47">
        <f t="shared" si="20"/>
        <v>48.96</v>
      </c>
      <c r="AG58" s="47">
        <v>40800</v>
      </c>
      <c r="AH58" s="47"/>
      <c r="AI58" s="47">
        <f t="shared" si="21"/>
        <v>88.06</v>
      </c>
      <c r="AJ58" s="53">
        <f t="shared" si="22"/>
        <v>41.661000000000001</v>
      </c>
      <c r="AK58" s="53">
        <f t="shared" si="23"/>
        <v>416610</v>
      </c>
      <c r="AL58" s="47"/>
      <c r="AM58" s="47">
        <f t="shared" si="3"/>
        <v>18.030799999999999</v>
      </c>
      <c r="AN58" s="47">
        <f t="shared" si="4"/>
        <v>16.973700000000001</v>
      </c>
      <c r="AO58" s="47">
        <f t="shared" si="24"/>
        <v>169737</v>
      </c>
      <c r="AP58" s="47">
        <f t="shared" si="5"/>
        <v>1.0570999999999999</v>
      </c>
      <c r="AQ58" s="47">
        <f t="shared" si="25"/>
        <v>10571</v>
      </c>
      <c r="AR58" s="47"/>
      <c r="AS58" s="47">
        <f t="shared" si="26"/>
        <v>2.7484999999999999</v>
      </c>
      <c r="AT58" s="47">
        <f t="shared" si="6"/>
        <v>1.2685</v>
      </c>
      <c r="AU58" s="47">
        <f t="shared" si="27"/>
        <v>12685</v>
      </c>
      <c r="AV58" s="47">
        <f t="shared" si="7"/>
        <v>1.4799</v>
      </c>
      <c r="AW58" s="47">
        <f t="shared" si="28"/>
        <v>14799</v>
      </c>
      <c r="AX58" s="47">
        <f t="shared" si="8"/>
        <v>31.245699999999999</v>
      </c>
      <c r="AY58" s="47"/>
      <c r="AZ58" s="47"/>
      <c r="BA58" s="54">
        <v>1E-4</v>
      </c>
      <c r="BB58" s="55" t="s">
        <v>185</v>
      </c>
      <c r="BC58" s="51">
        <f t="shared" si="29"/>
        <v>102.64</v>
      </c>
      <c r="BD58" s="47">
        <f t="shared" si="32"/>
        <v>32.64</v>
      </c>
      <c r="BE58" s="47">
        <f t="shared" si="30"/>
        <v>0</v>
      </c>
      <c r="BF58" s="47"/>
      <c r="BG58" s="56">
        <v>70</v>
      </c>
      <c r="BH58" s="47"/>
      <c r="BI58" s="51">
        <f t="shared" si="10"/>
        <v>0.82799999999999996</v>
      </c>
      <c r="BJ58" s="51">
        <f t="shared" si="11"/>
        <v>0</v>
      </c>
      <c r="BK58" s="47"/>
      <c r="BL58" s="47"/>
      <c r="BM58" s="47"/>
      <c r="BN58" s="47"/>
      <c r="BO58" s="47"/>
      <c r="BP58" s="47">
        <v>0.82799999999999996</v>
      </c>
      <c r="BQ58" s="47"/>
      <c r="BR58" s="47"/>
      <c r="BS58" s="53"/>
      <c r="BT58" s="47"/>
      <c r="BU58" s="47"/>
      <c r="BV58" s="47"/>
      <c r="BW58" s="47"/>
      <c r="BX58" s="47"/>
      <c r="BY58" s="47"/>
      <c r="BZ58" s="47"/>
      <c r="CA58" s="47"/>
      <c r="CB58" s="54">
        <f t="shared" si="33"/>
        <v>457.53519999999997</v>
      </c>
    </row>
    <row r="59" spans="1:80" ht="14.25" customHeight="1">
      <c r="A59" s="47">
        <v>52</v>
      </c>
      <c r="B59" s="47" t="s">
        <v>129</v>
      </c>
      <c r="C59" s="48">
        <v>804003</v>
      </c>
      <c r="D59" s="49" t="s">
        <v>186</v>
      </c>
      <c r="E59" s="49" t="s">
        <v>150</v>
      </c>
      <c r="F59" s="50">
        <f t="shared" si="13"/>
        <v>10</v>
      </c>
      <c r="G59" s="50"/>
      <c r="H59" s="50"/>
      <c r="I59" s="50">
        <v>10</v>
      </c>
      <c r="J59" s="50"/>
      <c r="K59" s="50"/>
      <c r="L59" s="50"/>
      <c r="M59" s="50"/>
      <c r="N59" s="50"/>
      <c r="O59" s="50">
        <f t="shared" si="14"/>
        <v>10</v>
      </c>
      <c r="P59" s="51">
        <f t="shared" si="0"/>
        <v>122.61189999999999</v>
      </c>
      <c r="Q59" s="51">
        <f t="shared" si="1"/>
        <v>113.0119</v>
      </c>
      <c r="R59" s="47">
        <f t="shared" si="15"/>
        <v>35613</v>
      </c>
      <c r="S59" s="58"/>
      <c r="T59" s="51">
        <v>35613</v>
      </c>
      <c r="U59" s="47">
        <f t="shared" si="16"/>
        <v>42.735599999999998</v>
      </c>
      <c r="V59" s="51">
        <f t="shared" si="2"/>
        <v>0</v>
      </c>
      <c r="W59" s="47">
        <f t="shared" si="17"/>
        <v>0</v>
      </c>
      <c r="X59" s="47"/>
      <c r="Y59" s="47"/>
      <c r="Z59" s="47"/>
      <c r="AA59" s="47"/>
      <c r="AB59" s="51">
        <f t="shared" si="18"/>
        <v>14.4</v>
      </c>
      <c r="AC59" s="47">
        <f t="shared" si="19"/>
        <v>0</v>
      </c>
      <c r="AD59" s="47"/>
      <c r="AE59" s="47"/>
      <c r="AF59" s="47">
        <f t="shared" si="20"/>
        <v>14.4</v>
      </c>
      <c r="AG59" s="47">
        <v>12000</v>
      </c>
      <c r="AH59" s="47"/>
      <c r="AI59" s="47">
        <f t="shared" si="21"/>
        <v>25.9</v>
      </c>
      <c r="AJ59" s="53">
        <f t="shared" si="22"/>
        <v>13.2857</v>
      </c>
      <c r="AK59" s="53">
        <f t="shared" si="23"/>
        <v>132857</v>
      </c>
      <c r="AL59" s="47"/>
      <c r="AM59" s="47">
        <f t="shared" si="3"/>
        <v>5.8339999999999996</v>
      </c>
      <c r="AN59" s="47">
        <f t="shared" si="4"/>
        <v>5.4908000000000001</v>
      </c>
      <c r="AO59" s="47">
        <f t="shared" si="24"/>
        <v>54908</v>
      </c>
      <c r="AP59" s="47">
        <f t="shared" si="5"/>
        <v>0.34320000000000001</v>
      </c>
      <c r="AQ59" s="47">
        <f t="shared" si="25"/>
        <v>3432</v>
      </c>
      <c r="AR59" s="47"/>
      <c r="AS59" s="47">
        <f t="shared" si="26"/>
        <v>0.89229999999999998</v>
      </c>
      <c r="AT59" s="47">
        <f t="shared" si="6"/>
        <v>0.4118</v>
      </c>
      <c r="AU59" s="47">
        <f t="shared" si="27"/>
        <v>4118</v>
      </c>
      <c r="AV59" s="47">
        <f t="shared" si="7"/>
        <v>0.48039999999999999</v>
      </c>
      <c r="AW59" s="47">
        <f t="shared" si="28"/>
        <v>4804</v>
      </c>
      <c r="AX59" s="47">
        <f t="shared" si="8"/>
        <v>9.9642999999999997</v>
      </c>
      <c r="AY59" s="47"/>
      <c r="AZ59" s="47"/>
      <c r="BA59" s="54">
        <v>1E-4</v>
      </c>
      <c r="BB59" s="55" t="s">
        <v>186</v>
      </c>
      <c r="BC59" s="51">
        <f t="shared" si="29"/>
        <v>9.6</v>
      </c>
      <c r="BD59" s="47">
        <f t="shared" si="32"/>
        <v>9.6</v>
      </c>
      <c r="BE59" s="47">
        <f t="shared" si="30"/>
        <v>0</v>
      </c>
      <c r="BF59" s="47"/>
      <c r="BG59" s="56">
        <v>0</v>
      </c>
      <c r="BH59" s="47"/>
      <c r="BI59" s="51">
        <f t="shared" si="10"/>
        <v>0</v>
      </c>
      <c r="BJ59" s="51">
        <f t="shared" si="11"/>
        <v>0</v>
      </c>
      <c r="BK59" s="47"/>
      <c r="BL59" s="47"/>
      <c r="BM59" s="47"/>
      <c r="BN59" s="47"/>
      <c r="BO59" s="47"/>
      <c r="BP59" s="47"/>
      <c r="BQ59" s="47"/>
      <c r="BR59" s="47"/>
      <c r="BS59" s="53"/>
      <c r="BT59" s="47"/>
      <c r="BU59" s="47"/>
      <c r="BV59" s="47"/>
      <c r="BW59" s="47"/>
      <c r="BX59" s="47"/>
      <c r="BY59" s="47"/>
      <c r="BZ59" s="47"/>
      <c r="CA59" s="47"/>
      <c r="CB59" s="54">
        <f t="shared" si="33"/>
        <v>122.61189999999999</v>
      </c>
    </row>
    <row r="60" spans="1:80" ht="14.25" customHeight="1">
      <c r="A60" s="47">
        <v>53</v>
      </c>
      <c r="B60" s="47" t="s">
        <v>129</v>
      </c>
      <c r="C60" s="48">
        <v>804004</v>
      </c>
      <c r="D60" s="49" t="s">
        <v>187</v>
      </c>
      <c r="E60" s="49" t="s">
        <v>150</v>
      </c>
      <c r="F60" s="50">
        <f t="shared" si="13"/>
        <v>32</v>
      </c>
      <c r="G60" s="50"/>
      <c r="H60" s="50"/>
      <c r="I60" s="50">
        <v>32</v>
      </c>
      <c r="J60" s="50"/>
      <c r="K60" s="50"/>
      <c r="L60" s="50"/>
      <c r="M60" s="50"/>
      <c r="N60" s="50"/>
      <c r="O60" s="50">
        <f t="shared" si="14"/>
        <v>32</v>
      </c>
      <c r="P60" s="51">
        <f t="shared" si="0"/>
        <v>607.49720000000002</v>
      </c>
      <c r="Q60" s="51">
        <f t="shared" si="1"/>
        <v>345.77719999999999</v>
      </c>
      <c r="R60" s="47">
        <f t="shared" si="15"/>
        <v>104370</v>
      </c>
      <c r="S60" s="58"/>
      <c r="T60" s="51">
        <v>104370</v>
      </c>
      <c r="U60" s="47">
        <f t="shared" si="16"/>
        <v>125.244</v>
      </c>
      <c r="V60" s="51">
        <f t="shared" si="2"/>
        <v>0</v>
      </c>
      <c r="W60" s="47">
        <f t="shared" si="17"/>
        <v>0</v>
      </c>
      <c r="X60" s="47"/>
      <c r="Y60" s="47"/>
      <c r="Z60" s="47"/>
      <c r="AA60" s="47"/>
      <c r="AB60" s="51">
        <f t="shared" si="18"/>
        <v>46.08</v>
      </c>
      <c r="AC60" s="47">
        <f t="shared" si="19"/>
        <v>0</v>
      </c>
      <c r="AD60" s="47"/>
      <c r="AE60" s="47"/>
      <c r="AF60" s="47">
        <f t="shared" si="20"/>
        <v>46.08</v>
      </c>
      <c r="AG60" s="47">
        <v>38400</v>
      </c>
      <c r="AH60" s="47"/>
      <c r="AI60" s="47">
        <f t="shared" si="21"/>
        <v>82.88</v>
      </c>
      <c r="AJ60" s="53">
        <f t="shared" si="22"/>
        <v>40.672600000000003</v>
      </c>
      <c r="AK60" s="53">
        <f t="shared" si="23"/>
        <v>406726</v>
      </c>
      <c r="AL60" s="47"/>
      <c r="AM60" s="47">
        <f t="shared" si="3"/>
        <v>17.6905</v>
      </c>
      <c r="AN60" s="47">
        <f t="shared" si="4"/>
        <v>16.649899999999999</v>
      </c>
      <c r="AO60" s="47">
        <f t="shared" si="24"/>
        <v>166499</v>
      </c>
      <c r="AP60" s="47">
        <f t="shared" si="5"/>
        <v>1.0406</v>
      </c>
      <c r="AQ60" s="47">
        <f t="shared" si="25"/>
        <v>10406</v>
      </c>
      <c r="AR60" s="47"/>
      <c r="AS60" s="47">
        <f t="shared" si="26"/>
        <v>2.7056</v>
      </c>
      <c r="AT60" s="47">
        <f t="shared" si="6"/>
        <v>1.2486999999999999</v>
      </c>
      <c r="AU60" s="47">
        <f t="shared" si="27"/>
        <v>12487</v>
      </c>
      <c r="AV60" s="47">
        <f t="shared" si="7"/>
        <v>1.4569000000000001</v>
      </c>
      <c r="AW60" s="47">
        <f t="shared" si="28"/>
        <v>14569</v>
      </c>
      <c r="AX60" s="47">
        <f t="shared" si="8"/>
        <v>30.5045</v>
      </c>
      <c r="AY60" s="47"/>
      <c r="AZ60" s="47"/>
      <c r="BA60" s="54">
        <v>1E-4</v>
      </c>
      <c r="BB60" s="55" t="s">
        <v>187</v>
      </c>
      <c r="BC60" s="51">
        <f t="shared" si="29"/>
        <v>261.72000000000003</v>
      </c>
      <c r="BD60" s="47">
        <f t="shared" si="32"/>
        <v>30.72</v>
      </c>
      <c r="BE60" s="47">
        <f t="shared" si="30"/>
        <v>0</v>
      </c>
      <c r="BF60" s="47"/>
      <c r="BG60" s="56">
        <v>165</v>
      </c>
      <c r="BH60" s="47">
        <v>66</v>
      </c>
      <c r="BI60" s="51">
        <f t="shared" si="10"/>
        <v>0</v>
      </c>
      <c r="BJ60" s="51">
        <f t="shared" si="11"/>
        <v>0</v>
      </c>
      <c r="BK60" s="47"/>
      <c r="BL60" s="47"/>
      <c r="BM60" s="47"/>
      <c r="BN60" s="47"/>
      <c r="BO60" s="47"/>
      <c r="BP60" s="47"/>
      <c r="BQ60" s="47"/>
      <c r="BR60" s="47"/>
      <c r="BS60" s="53"/>
      <c r="BT60" s="47"/>
      <c r="BU60" s="47"/>
      <c r="BV60" s="47"/>
      <c r="BW60" s="47"/>
      <c r="BX60" s="47"/>
      <c r="BY60" s="47"/>
      <c r="BZ60" s="47"/>
      <c r="CA60" s="47"/>
      <c r="CB60" s="54">
        <f t="shared" si="33"/>
        <v>607.49720000000002</v>
      </c>
    </row>
    <row r="61" spans="1:80" ht="14.25" customHeight="1">
      <c r="A61" s="47">
        <v>54</v>
      </c>
      <c r="B61" s="47" t="s">
        <v>129</v>
      </c>
      <c r="C61" s="48">
        <v>804005</v>
      </c>
      <c r="D61" s="49" t="s">
        <v>188</v>
      </c>
      <c r="E61" s="49" t="s">
        <v>141</v>
      </c>
      <c r="F61" s="50">
        <f t="shared" si="13"/>
        <v>17</v>
      </c>
      <c r="G61" s="50">
        <v>15</v>
      </c>
      <c r="H61" s="50"/>
      <c r="I61" s="50"/>
      <c r="J61" s="50">
        <v>2</v>
      </c>
      <c r="K61" s="50"/>
      <c r="L61" s="50"/>
      <c r="M61" s="50"/>
      <c r="N61" s="50"/>
      <c r="O61" s="50">
        <f t="shared" si="14"/>
        <v>17</v>
      </c>
      <c r="P61" s="51">
        <f t="shared" si="0"/>
        <v>535.54240000000004</v>
      </c>
      <c r="Q61" s="51">
        <f t="shared" si="1"/>
        <v>188.70240000000001</v>
      </c>
      <c r="R61" s="47">
        <f t="shared" si="15"/>
        <v>56099</v>
      </c>
      <c r="S61" s="58">
        <v>51312</v>
      </c>
      <c r="T61" s="51">
        <v>4787</v>
      </c>
      <c r="U61" s="47">
        <f t="shared" si="16"/>
        <v>67.318799999999996</v>
      </c>
      <c r="V61" s="51">
        <f t="shared" si="2"/>
        <v>33.75</v>
      </c>
      <c r="W61" s="47">
        <f t="shared" si="17"/>
        <v>33.75</v>
      </c>
      <c r="X61" s="47"/>
      <c r="Y61" s="47"/>
      <c r="Z61" s="47"/>
      <c r="AA61" s="47"/>
      <c r="AB61" s="51">
        <f t="shared" si="18"/>
        <v>33.561599999999999</v>
      </c>
      <c r="AC61" s="47">
        <f t="shared" si="19"/>
        <v>5.1311999999999998</v>
      </c>
      <c r="AD61" s="47"/>
      <c r="AE61" s="47"/>
      <c r="AF61" s="47">
        <f t="shared" si="20"/>
        <v>28.430399999999999</v>
      </c>
      <c r="AG61" s="47">
        <v>23692</v>
      </c>
      <c r="AH61" s="47"/>
      <c r="AI61" s="47">
        <f t="shared" si="21"/>
        <v>5.18</v>
      </c>
      <c r="AJ61" s="53">
        <f t="shared" si="22"/>
        <v>22.369700000000002</v>
      </c>
      <c r="AK61" s="53">
        <f t="shared" si="23"/>
        <v>223697.00000000003</v>
      </c>
      <c r="AL61" s="47"/>
      <c r="AM61" s="47">
        <f t="shared" si="3"/>
        <v>9.0311000000000003</v>
      </c>
      <c r="AN61" s="47">
        <f t="shared" si="4"/>
        <v>8.4999000000000002</v>
      </c>
      <c r="AO61" s="47">
        <f t="shared" si="24"/>
        <v>84999</v>
      </c>
      <c r="AP61" s="47">
        <f t="shared" si="5"/>
        <v>0.53120000000000001</v>
      </c>
      <c r="AQ61" s="47">
        <f t="shared" si="25"/>
        <v>5312</v>
      </c>
      <c r="AR61" s="47"/>
      <c r="AS61" s="47">
        <f t="shared" si="26"/>
        <v>0.71399999999999997</v>
      </c>
      <c r="AT61" s="47">
        <f t="shared" si="6"/>
        <v>0.63749999999999996</v>
      </c>
      <c r="AU61" s="47">
        <f t="shared" si="27"/>
        <v>6375</v>
      </c>
      <c r="AV61" s="47">
        <f t="shared" si="7"/>
        <v>7.6499999999999999E-2</v>
      </c>
      <c r="AW61" s="47">
        <f t="shared" si="28"/>
        <v>765</v>
      </c>
      <c r="AX61" s="47">
        <f t="shared" si="8"/>
        <v>16.777200000000001</v>
      </c>
      <c r="AY61" s="47"/>
      <c r="AZ61" s="47"/>
      <c r="BA61" s="54">
        <v>1E-4</v>
      </c>
      <c r="BB61" s="55" t="s">
        <v>188</v>
      </c>
      <c r="BC61" s="51">
        <f t="shared" si="29"/>
        <v>346.84000000000003</v>
      </c>
      <c r="BD61" s="47">
        <f t="shared" si="32"/>
        <v>19.920000000000002</v>
      </c>
      <c r="BE61" s="47">
        <f t="shared" si="30"/>
        <v>10.92</v>
      </c>
      <c r="BF61" s="47">
        <v>9100</v>
      </c>
      <c r="BG61" s="56">
        <v>16</v>
      </c>
      <c r="BH61" s="47">
        <v>300</v>
      </c>
      <c r="BI61" s="51">
        <f t="shared" si="10"/>
        <v>0</v>
      </c>
      <c r="BJ61" s="51">
        <f t="shared" si="11"/>
        <v>0</v>
      </c>
      <c r="BK61" s="47"/>
      <c r="BL61" s="47"/>
      <c r="BM61" s="47"/>
      <c r="BN61" s="47"/>
      <c r="BO61" s="47"/>
      <c r="BP61" s="47"/>
      <c r="BQ61" s="47"/>
      <c r="BR61" s="47"/>
      <c r="BS61" s="53"/>
      <c r="BT61" s="47"/>
      <c r="BU61" s="47"/>
      <c r="BV61" s="47"/>
      <c r="BW61" s="47"/>
      <c r="BX61" s="47"/>
      <c r="BY61" s="47"/>
      <c r="BZ61" s="47"/>
      <c r="CA61" s="47"/>
      <c r="CB61" s="54">
        <f t="shared" si="33"/>
        <v>535.54240000000004</v>
      </c>
    </row>
    <row r="62" spans="1:80" ht="14.25" customHeight="1">
      <c r="A62" s="47">
        <v>55</v>
      </c>
      <c r="B62" s="47" t="s">
        <v>129</v>
      </c>
      <c r="C62" s="48">
        <v>804006</v>
      </c>
      <c r="D62" s="49" t="s">
        <v>189</v>
      </c>
      <c r="E62" s="49" t="s">
        <v>150</v>
      </c>
      <c r="F62" s="50">
        <f t="shared" si="13"/>
        <v>21</v>
      </c>
      <c r="G62" s="50"/>
      <c r="H62" s="50"/>
      <c r="I62" s="50">
        <v>7</v>
      </c>
      <c r="J62" s="50">
        <v>14</v>
      </c>
      <c r="K62" s="50"/>
      <c r="L62" s="50"/>
      <c r="M62" s="50"/>
      <c r="N62" s="50">
        <v>4</v>
      </c>
      <c r="O62" s="50">
        <f t="shared" si="14"/>
        <v>25</v>
      </c>
      <c r="P62" s="51">
        <f t="shared" si="0"/>
        <v>233.68769999999998</v>
      </c>
      <c r="Q62" s="51">
        <f t="shared" si="1"/>
        <v>213.52769999999998</v>
      </c>
      <c r="R62" s="47">
        <f t="shared" si="15"/>
        <v>60378</v>
      </c>
      <c r="S62" s="58"/>
      <c r="T62" s="51">
        <v>60378</v>
      </c>
      <c r="U62" s="47">
        <f t="shared" si="16"/>
        <v>72.453599999999994</v>
      </c>
      <c r="V62" s="51">
        <f t="shared" si="2"/>
        <v>0</v>
      </c>
      <c r="W62" s="47">
        <f t="shared" si="17"/>
        <v>0</v>
      </c>
      <c r="X62" s="47"/>
      <c r="Y62" s="47"/>
      <c r="Z62" s="47"/>
      <c r="AA62" s="47"/>
      <c r="AB62" s="51">
        <f t="shared" si="18"/>
        <v>30.24</v>
      </c>
      <c r="AC62" s="47">
        <f t="shared" si="19"/>
        <v>0</v>
      </c>
      <c r="AD62" s="47"/>
      <c r="AE62" s="47"/>
      <c r="AF62" s="47">
        <f t="shared" si="20"/>
        <v>30.24</v>
      </c>
      <c r="AG62" s="47">
        <v>25200</v>
      </c>
      <c r="AH62" s="47"/>
      <c r="AI62" s="47">
        <f t="shared" si="21"/>
        <v>54.39</v>
      </c>
      <c r="AJ62" s="53">
        <f t="shared" si="22"/>
        <v>25.133400000000002</v>
      </c>
      <c r="AK62" s="53">
        <f t="shared" si="23"/>
        <v>251334.00000000003</v>
      </c>
      <c r="AL62" s="47"/>
      <c r="AM62" s="47">
        <f t="shared" si="3"/>
        <v>10.8117</v>
      </c>
      <c r="AN62" s="47">
        <f t="shared" si="4"/>
        <v>10.1775</v>
      </c>
      <c r="AO62" s="47">
        <f t="shared" si="24"/>
        <v>101775</v>
      </c>
      <c r="AP62" s="47">
        <f t="shared" si="5"/>
        <v>0.63419999999999999</v>
      </c>
      <c r="AQ62" s="47">
        <f t="shared" si="25"/>
        <v>6342</v>
      </c>
      <c r="AR62" s="47"/>
      <c r="AS62" s="47">
        <f t="shared" si="26"/>
        <v>1.649</v>
      </c>
      <c r="AT62" s="47">
        <f t="shared" si="6"/>
        <v>0.7611</v>
      </c>
      <c r="AU62" s="47">
        <f t="shared" si="27"/>
        <v>7611</v>
      </c>
      <c r="AV62" s="47">
        <f t="shared" si="7"/>
        <v>0.88790000000000002</v>
      </c>
      <c r="AW62" s="47">
        <f t="shared" si="28"/>
        <v>8879</v>
      </c>
      <c r="AX62" s="47">
        <f t="shared" si="8"/>
        <v>18.850000000000001</v>
      </c>
      <c r="AY62" s="47"/>
      <c r="AZ62" s="47"/>
      <c r="BA62" s="54">
        <v>1E-4</v>
      </c>
      <c r="BB62" s="55" t="s">
        <v>189</v>
      </c>
      <c r="BC62" s="51">
        <f t="shared" si="29"/>
        <v>20.16</v>
      </c>
      <c r="BD62" s="47">
        <f t="shared" si="32"/>
        <v>20.16</v>
      </c>
      <c r="BE62" s="47">
        <f t="shared" si="30"/>
        <v>0</v>
      </c>
      <c r="BF62" s="47"/>
      <c r="BG62" s="56"/>
      <c r="BH62" s="47"/>
      <c r="BI62" s="51">
        <f t="shared" si="10"/>
        <v>0</v>
      </c>
      <c r="BJ62" s="51">
        <f t="shared" si="11"/>
        <v>0</v>
      </c>
      <c r="BK62" s="47"/>
      <c r="BL62" s="47"/>
      <c r="BM62" s="47"/>
      <c r="BN62" s="47"/>
      <c r="BO62" s="47"/>
      <c r="BP62" s="47"/>
      <c r="BQ62" s="47"/>
      <c r="BR62" s="47"/>
      <c r="BS62" s="53"/>
      <c r="BT62" s="47"/>
      <c r="BU62" s="47"/>
      <c r="BV62" s="47"/>
      <c r="BW62" s="47"/>
      <c r="BX62" s="47"/>
      <c r="BY62" s="47"/>
      <c r="BZ62" s="47"/>
      <c r="CA62" s="47"/>
      <c r="CB62" s="54">
        <f t="shared" si="33"/>
        <v>233.68769999999998</v>
      </c>
    </row>
    <row r="63" spans="1:80" ht="14.25" customHeight="1">
      <c r="A63" s="47">
        <v>56</v>
      </c>
      <c r="B63" s="47" t="s">
        <v>129</v>
      </c>
      <c r="C63" s="48">
        <v>804007</v>
      </c>
      <c r="D63" s="49" t="s">
        <v>190</v>
      </c>
      <c r="E63" s="49" t="s">
        <v>150</v>
      </c>
      <c r="F63" s="50">
        <f t="shared" si="13"/>
        <v>14</v>
      </c>
      <c r="G63" s="50"/>
      <c r="H63" s="50"/>
      <c r="I63" s="50">
        <v>14</v>
      </c>
      <c r="J63" s="50"/>
      <c r="K63" s="50"/>
      <c r="L63" s="50"/>
      <c r="M63" s="50"/>
      <c r="N63" s="50">
        <v>1</v>
      </c>
      <c r="O63" s="50">
        <f t="shared" si="14"/>
        <v>15</v>
      </c>
      <c r="P63" s="51">
        <f t="shared" si="0"/>
        <v>163.2884</v>
      </c>
      <c r="Q63" s="51">
        <f t="shared" si="1"/>
        <v>149.8484</v>
      </c>
      <c r="R63" s="47">
        <f t="shared" si="15"/>
        <v>44793</v>
      </c>
      <c r="S63" s="58">
        <v>0</v>
      </c>
      <c r="T63" s="51">
        <v>44793</v>
      </c>
      <c r="U63" s="47">
        <f t="shared" si="16"/>
        <v>53.751600000000003</v>
      </c>
      <c r="V63" s="51">
        <f t="shared" si="2"/>
        <v>0</v>
      </c>
      <c r="W63" s="47">
        <f t="shared" si="17"/>
        <v>0</v>
      </c>
      <c r="X63" s="47"/>
      <c r="Y63" s="47"/>
      <c r="Z63" s="47"/>
      <c r="AA63" s="47"/>
      <c r="AB63" s="51">
        <f t="shared" si="18"/>
        <v>20.16</v>
      </c>
      <c r="AC63" s="47">
        <f t="shared" si="19"/>
        <v>0</v>
      </c>
      <c r="AD63" s="47"/>
      <c r="AE63" s="47"/>
      <c r="AF63" s="47">
        <f t="shared" si="20"/>
        <v>20.16</v>
      </c>
      <c r="AG63" s="47">
        <v>16800</v>
      </c>
      <c r="AH63" s="47"/>
      <c r="AI63" s="47">
        <f t="shared" si="21"/>
        <v>36.26</v>
      </c>
      <c r="AJ63" s="53">
        <f t="shared" si="22"/>
        <v>17.627500000000001</v>
      </c>
      <c r="AK63" s="53">
        <f t="shared" si="23"/>
        <v>176275</v>
      </c>
      <c r="AL63" s="47"/>
      <c r="AM63" s="47">
        <f t="shared" si="3"/>
        <v>7.6585000000000001</v>
      </c>
      <c r="AN63" s="47">
        <f t="shared" si="4"/>
        <v>7.2084000000000001</v>
      </c>
      <c r="AO63" s="47">
        <f t="shared" si="24"/>
        <v>72084</v>
      </c>
      <c r="AP63" s="47">
        <f t="shared" si="5"/>
        <v>0.4501</v>
      </c>
      <c r="AQ63" s="47">
        <f t="shared" si="25"/>
        <v>4501</v>
      </c>
      <c r="AR63" s="47"/>
      <c r="AS63" s="47">
        <f t="shared" si="26"/>
        <v>1.1701999999999999</v>
      </c>
      <c r="AT63" s="47">
        <f t="shared" si="6"/>
        <v>0.54010000000000002</v>
      </c>
      <c r="AU63" s="47">
        <f t="shared" si="27"/>
        <v>5401</v>
      </c>
      <c r="AV63" s="47">
        <f t="shared" si="7"/>
        <v>0.63009999999999999</v>
      </c>
      <c r="AW63" s="47">
        <f t="shared" si="28"/>
        <v>6301</v>
      </c>
      <c r="AX63" s="47">
        <f t="shared" si="8"/>
        <v>13.220599999999999</v>
      </c>
      <c r="AY63" s="47"/>
      <c r="AZ63" s="47"/>
      <c r="BA63" s="54">
        <v>1E-4</v>
      </c>
      <c r="BB63" s="55" t="s">
        <v>190</v>
      </c>
      <c r="BC63" s="51">
        <f t="shared" si="29"/>
        <v>13.44</v>
      </c>
      <c r="BD63" s="47">
        <f t="shared" si="32"/>
        <v>13.44</v>
      </c>
      <c r="BE63" s="47">
        <f t="shared" si="30"/>
        <v>0</v>
      </c>
      <c r="BF63" s="47"/>
      <c r="BG63" s="56"/>
      <c r="BH63" s="47"/>
      <c r="BI63" s="51">
        <f t="shared" si="10"/>
        <v>0</v>
      </c>
      <c r="BJ63" s="51">
        <f t="shared" si="11"/>
        <v>0</v>
      </c>
      <c r="BK63" s="47"/>
      <c r="BL63" s="47"/>
      <c r="BM63" s="47"/>
      <c r="BN63" s="47"/>
      <c r="BO63" s="47"/>
      <c r="BP63" s="47"/>
      <c r="BQ63" s="47"/>
      <c r="BR63" s="47"/>
      <c r="BS63" s="53"/>
      <c r="BT63" s="47"/>
      <c r="BU63" s="47"/>
      <c r="BV63" s="47"/>
      <c r="BW63" s="47"/>
      <c r="BX63" s="47"/>
      <c r="BY63" s="47"/>
      <c r="BZ63" s="47"/>
      <c r="CA63" s="47"/>
      <c r="CB63" s="54">
        <f t="shared" si="33"/>
        <v>163.2884</v>
      </c>
    </row>
    <row r="64" spans="1:80" ht="14.25" customHeight="1">
      <c r="A64" s="47">
        <v>57</v>
      </c>
      <c r="B64" s="47" t="s">
        <v>129</v>
      </c>
      <c r="C64" s="48">
        <v>805001</v>
      </c>
      <c r="D64" s="49" t="s">
        <v>191</v>
      </c>
      <c r="E64" s="49" t="s">
        <v>141</v>
      </c>
      <c r="F64" s="50">
        <f t="shared" si="13"/>
        <v>14</v>
      </c>
      <c r="G64" s="50">
        <v>11</v>
      </c>
      <c r="H64" s="50">
        <v>3</v>
      </c>
      <c r="I64" s="50"/>
      <c r="J64" s="50"/>
      <c r="K64" s="50"/>
      <c r="L64" s="50"/>
      <c r="M64" s="50">
        <v>1</v>
      </c>
      <c r="N64" s="50">
        <v>30</v>
      </c>
      <c r="O64" s="50">
        <f t="shared" si="14"/>
        <v>45</v>
      </c>
      <c r="P64" s="51">
        <f t="shared" si="0"/>
        <v>298.80379999999997</v>
      </c>
      <c r="Q64" s="51">
        <f t="shared" si="1"/>
        <v>152.75179999999997</v>
      </c>
      <c r="R64" s="47">
        <f t="shared" si="15"/>
        <v>45064</v>
      </c>
      <c r="S64" s="58">
        <v>45064</v>
      </c>
      <c r="T64" s="51"/>
      <c r="U64" s="47">
        <f t="shared" si="16"/>
        <v>54.076799999999999</v>
      </c>
      <c r="V64" s="51">
        <f t="shared" si="2"/>
        <v>31.5</v>
      </c>
      <c r="W64" s="47">
        <f t="shared" si="17"/>
        <v>31.5</v>
      </c>
      <c r="X64" s="47"/>
      <c r="Y64" s="47"/>
      <c r="Z64" s="47"/>
      <c r="AA64" s="47"/>
      <c r="AB64" s="51">
        <f t="shared" si="18"/>
        <v>27.500799999999998</v>
      </c>
      <c r="AC64" s="47">
        <f t="shared" si="19"/>
        <v>4.5064000000000002</v>
      </c>
      <c r="AD64" s="47"/>
      <c r="AE64" s="47"/>
      <c r="AF64" s="47">
        <f t="shared" si="20"/>
        <v>22.994399999999999</v>
      </c>
      <c r="AG64" s="47">
        <v>19162</v>
      </c>
      <c r="AH64" s="47"/>
      <c r="AI64" s="47">
        <f t="shared" si="21"/>
        <v>0</v>
      </c>
      <c r="AJ64" s="53">
        <f t="shared" si="22"/>
        <v>18.092400000000001</v>
      </c>
      <c r="AK64" s="53">
        <f t="shared" si="23"/>
        <v>180924</v>
      </c>
      <c r="AL64" s="47"/>
      <c r="AM64" s="47">
        <f t="shared" si="3"/>
        <v>7.4989999999999997</v>
      </c>
      <c r="AN64" s="47">
        <f t="shared" si="4"/>
        <v>7.0711000000000004</v>
      </c>
      <c r="AO64" s="47">
        <f t="shared" si="24"/>
        <v>70711</v>
      </c>
      <c r="AP64" s="47">
        <f t="shared" si="5"/>
        <v>0.4279</v>
      </c>
      <c r="AQ64" s="47">
        <f t="shared" si="25"/>
        <v>4279</v>
      </c>
      <c r="AR64" s="47"/>
      <c r="AS64" s="47">
        <f t="shared" si="26"/>
        <v>0.51349999999999996</v>
      </c>
      <c r="AT64" s="47">
        <f t="shared" si="6"/>
        <v>0.51349999999999996</v>
      </c>
      <c r="AU64" s="47">
        <f t="shared" si="27"/>
        <v>5135</v>
      </c>
      <c r="AV64" s="47">
        <f t="shared" si="7"/>
        <v>0</v>
      </c>
      <c r="AW64" s="47">
        <f t="shared" si="28"/>
        <v>0</v>
      </c>
      <c r="AX64" s="47">
        <f t="shared" si="8"/>
        <v>13.5693</v>
      </c>
      <c r="AY64" s="47"/>
      <c r="AZ64" s="47"/>
      <c r="BA64" s="54">
        <v>1E-4</v>
      </c>
      <c r="BB64" s="55" t="s">
        <v>191</v>
      </c>
      <c r="BC64" s="51">
        <f t="shared" si="29"/>
        <v>140.4</v>
      </c>
      <c r="BD64" s="47">
        <f t="shared" si="32"/>
        <v>16.8</v>
      </c>
      <c r="BE64" s="47">
        <f t="shared" si="30"/>
        <v>9.6</v>
      </c>
      <c r="BF64" s="47">
        <v>8000</v>
      </c>
      <c r="BG64" s="56">
        <v>114</v>
      </c>
      <c r="BH64" s="47"/>
      <c r="BI64" s="51">
        <f t="shared" si="10"/>
        <v>5.652000000000001</v>
      </c>
      <c r="BJ64" s="51">
        <f t="shared" si="11"/>
        <v>3.24</v>
      </c>
      <c r="BK64" s="47"/>
      <c r="BL64" s="47">
        <v>3.24</v>
      </c>
      <c r="BM64" s="47"/>
      <c r="BN64" s="47"/>
      <c r="BO64" s="47"/>
      <c r="BP64" s="47">
        <f>3.24-0.828</f>
        <v>2.4120000000000004</v>
      </c>
      <c r="BQ64" s="47"/>
      <c r="BR64" s="47"/>
      <c r="BS64" s="53"/>
      <c r="BT64" s="47"/>
      <c r="BU64" s="47"/>
      <c r="BV64" s="47"/>
      <c r="BW64" s="47"/>
      <c r="BX64" s="47"/>
      <c r="BY64" s="47"/>
      <c r="BZ64" s="47"/>
      <c r="CA64" s="47"/>
      <c r="CB64" s="54">
        <f t="shared" si="33"/>
        <v>298.80379999999997</v>
      </c>
    </row>
    <row r="65" spans="1:80" ht="14.25" customHeight="1">
      <c r="A65" s="47">
        <v>58</v>
      </c>
      <c r="B65" s="47" t="s">
        <v>129</v>
      </c>
      <c r="C65" s="48">
        <v>301001</v>
      </c>
      <c r="D65" s="60" t="s">
        <v>192</v>
      </c>
      <c r="E65" s="60" t="s">
        <v>131</v>
      </c>
      <c r="F65" s="50">
        <f t="shared" si="13"/>
        <v>156</v>
      </c>
      <c r="G65" s="50">
        <v>45</v>
      </c>
      <c r="H65" s="50">
        <v>17</v>
      </c>
      <c r="I65" s="50">
        <f>93+1</f>
        <v>94</v>
      </c>
      <c r="J65" s="50"/>
      <c r="K65" s="50"/>
      <c r="L65" s="50"/>
      <c r="M65" s="50">
        <v>1</v>
      </c>
      <c r="N65" s="50">
        <v>75</v>
      </c>
      <c r="O65" s="50">
        <f t="shared" si="14"/>
        <v>232</v>
      </c>
      <c r="P65" s="51">
        <f t="shared" si="0"/>
        <v>2082.355</v>
      </c>
      <c r="Q65" s="51">
        <f t="shared" si="1"/>
        <v>1821.2450000000003</v>
      </c>
      <c r="R65" s="47">
        <f t="shared" si="15"/>
        <v>485879</v>
      </c>
      <c r="S65" s="61">
        <v>200257</v>
      </c>
      <c r="T65" s="62">
        <v>285622</v>
      </c>
      <c r="U65" s="47">
        <f t="shared" si="16"/>
        <v>583.0548</v>
      </c>
      <c r="V65" s="51">
        <f t="shared" si="2"/>
        <v>273.06</v>
      </c>
      <c r="W65" s="47">
        <f t="shared" si="17"/>
        <v>139.5</v>
      </c>
      <c r="X65" s="63">
        <v>133.56</v>
      </c>
      <c r="Y65" s="47"/>
      <c r="Z65" s="47"/>
      <c r="AA65" s="47"/>
      <c r="AB65" s="51">
        <f t="shared" si="18"/>
        <v>288.25330000000002</v>
      </c>
      <c r="AC65" s="47">
        <f t="shared" si="19"/>
        <v>20.025700000000001</v>
      </c>
      <c r="AD65" s="63">
        <v>36.9696</v>
      </c>
      <c r="AE65" s="47"/>
      <c r="AF65" s="47">
        <f t="shared" si="20"/>
        <v>231.25800000000001</v>
      </c>
      <c r="AG65" s="64">
        <v>192715</v>
      </c>
      <c r="AH65" s="47"/>
      <c r="AI65" s="47">
        <f t="shared" si="21"/>
        <v>243.46</v>
      </c>
      <c r="AJ65" s="53">
        <f t="shared" si="22"/>
        <v>194.76779999999999</v>
      </c>
      <c r="AK65" s="53">
        <f t="shared" si="23"/>
        <v>1947678</v>
      </c>
      <c r="AL65" s="47"/>
      <c r="AM65" s="47">
        <f t="shared" si="3"/>
        <v>82.6738</v>
      </c>
      <c r="AN65" s="47">
        <f t="shared" si="4"/>
        <v>77.843699999999998</v>
      </c>
      <c r="AO65" s="47">
        <f t="shared" si="24"/>
        <v>778437</v>
      </c>
      <c r="AP65" s="47">
        <f t="shared" si="5"/>
        <v>4.8300999999999998</v>
      </c>
      <c r="AQ65" s="47">
        <f t="shared" si="25"/>
        <v>48301</v>
      </c>
      <c r="AR65" s="47"/>
      <c r="AS65" s="47">
        <f t="shared" si="26"/>
        <v>9.8994999999999997</v>
      </c>
      <c r="AT65" s="47">
        <f t="shared" si="6"/>
        <v>5.7961</v>
      </c>
      <c r="AU65" s="47">
        <f t="shared" si="27"/>
        <v>57961</v>
      </c>
      <c r="AV65" s="47">
        <f t="shared" si="7"/>
        <v>4.1033999999999997</v>
      </c>
      <c r="AW65" s="47">
        <f t="shared" si="28"/>
        <v>41034</v>
      </c>
      <c r="AX65" s="47">
        <f t="shared" si="8"/>
        <v>146.07579999999999</v>
      </c>
      <c r="AY65" s="47"/>
      <c r="AZ65" s="47"/>
      <c r="BA65" s="54">
        <v>1E-4</v>
      </c>
      <c r="BB65" s="65" t="s">
        <v>192</v>
      </c>
      <c r="BC65" s="51">
        <f t="shared" si="29"/>
        <v>243.87199999999999</v>
      </c>
      <c r="BD65" s="47">
        <f t="shared" si="32"/>
        <v>164.64</v>
      </c>
      <c r="BE65" s="47">
        <f t="shared" si="30"/>
        <v>44.231999999999999</v>
      </c>
      <c r="BF65" s="47">
        <v>36860</v>
      </c>
      <c r="BG65" s="56"/>
      <c r="BH65" s="47">
        <v>35</v>
      </c>
      <c r="BI65" s="51">
        <f t="shared" si="10"/>
        <v>17.238</v>
      </c>
      <c r="BJ65" s="51">
        <f t="shared" si="11"/>
        <v>3.1259999999999999</v>
      </c>
      <c r="BK65" s="47"/>
      <c r="BL65" s="47">
        <v>3.1259999999999999</v>
      </c>
      <c r="BM65" s="47"/>
      <c r="BN65" s="47"/>
      <c r="BO65" s="47"/>
      <c r="BP65" s="63">
        <v>14.112</v>
      </c>
      <c r="BQ65" s="47"/>
      <c r="BR65" s="47"/>
      <c r="BS65" s="53"/>
      <c r="BT65" s="47"/>
      <c r="BU65" s="47"/>
      <c r="BV65" s="47"/>
      <c r="BW65" s="47"/>
      <c r="BX65" s="47"/>
      <c r="BY65" s="47"/>
      <c r="BZ65" s="47"/>
      <c r="CA65" s="47"/>
      <c r="CB65" s="54">
        <f t="shared" si="33"/>
        <v>2082.355</v>
      </c>
    </row>
    <row r="66" spans="1:80" ht="14.25" customHeight="1">
      <c r="A66" s="47">
        <v>59</v>
      </c>
      <c r="B66" s="47" t="s">
        <v>129</v>
      </c>
      <c r="C66" s="48">
        <v>302001</v>
      </c>
      <c r="D66" s="60" t="s">
        <v>193</v>
      </c>
      <c r="E66" s="60" t="s">
        <v>131</v>
      </c>
      <c r="F66" s="50">
        <f t="shared" si="13"/>
        <v>121</v>
      </c>
      <c r="G66" s="50">
        <v>41</v>
      </c>
      <c r="H66" s="50">
        <v>10</v>
      </c>
      <c r="I66" s="50">
        <v>54</v>
      </c>
      <c r="J66" s="50">
        <v>16</v>
      </c>
      <c r="K66" s="50"/>
      <c r="L66" s="50"/>
      <c r="M66" s="50"/>
      <c r="N66" s="50">
        <v>39</v>
      </c>
      <c r="O66" s="50">
        <f t="shared" si="14"/>
        <v>160</v>
      </c>
      <c r="P66" s="51">
        <f t="shared" si="0"/>
        <v>1596.2540000000001</v>
      </c>
      <c r="Q66" s="51">
        <f t="shared" si="1"/>
        <v>1393.1780000000001</v>
      </c>
      <c r="R66" s="47">
        <f t="shared" si="15"/>
        <v>373023</v>
      </c>
      <c r="S66" s="61">
        <v>153314</v>
      </c>
      <c r="T66" s="62">
        <v>219709</v>
      </c>
      <c r="U66" s="47">
        <f t="shared" si="16"/>
        <v>447.62759999999997</v>
      </c>
      <c r="V66" s="51">
        <f t="shared" si="2"/>
        <v>212.86199999999999</v>
      </c>
      <c r="W66" s="47">
        <f t="shared" si="17"/>
        <v>114.75</v>
      </c>
      <c r="X66" s="63">
        <v>98.111999999999995</v>
      </c>
      <c r="Y66" s="47"/>
      <c r="Z66" s="47"/>
      <c r="AA66" s="47"/>
      <c r="AB66" s="51">
        <f t="shared" si="18"/>
        <v>218.78659999999999</v>
      </c>
      <c r="AC66" s="47">
        <f t="shared" si="19"/>
        <v>15.3314</v>
      </c>
      <c r="AD66" s="63">
        <v>28.463999999999999</v>
      </c>
      <c r="AE66" s="47"/>
      <c r="AF66" s="47">
        <f t="shared" si="20"/>
        <v>174.99119999999999</v>
      </c>
      <c r="AG66" s="64">
        <v>145826</v>
      </c>
      <c r="AH66" s="47"/>
      <c r="AI66" s="47">
        <f t="shared" si="21"/>
        <v>181.3</v>
      </c>
      <c r="AJ66" s="53">
        <f t="shared" si="22"/>
        <v>149.44</v>
      </c>
      <c r="AK66" s="53">
        <f t="shared" si="23"/>
        <v>1494400</v>
      </c>
      <c r="AL66" s="47"/>
      <c r="AM66" s="47">
        <f t="shared" si="3"/>
        <v>63.505099999999999</v>
      </c>
      <c r="AN66" s="47">
        <f t="shared" si="4"/>
        <v>59.786700000000003</v>
      </c>
      <c r="AO66" s="47">
        <f t="shared" si="24"/>
        <v>597867</v>
      </c>
      <c r="AP66" s="47">
        <f t="shared" si="5"/>
        <v>3.7183999999999999</v>
      </c>
      <c r="AQ66" s="47">
        <f t="shared" si="25"/>
        <v>37184</v>
      </c>
      <c r="AR66" s="47"/>
      <c r="AS66" s="47">
        <f t="shared" si="26"/>
        <v>7.5766999999999998</v>
      </c>
      <c r="AT66" s="47">
        <f t="shared" si="6"/>
        <v>4.4621000000000004</v>
      </c>
      <c r="AU66" s="47">
        <f t="shared" si="27"/>
        <v>44621.000000000007</v>
      </c>
      <c r="AV66" s="47">
        <f t="shared" si="7"/>
        <v>3.1147</v>
      </c>
      <c r="AW66" s="47">
        <f t="shared" si="28"/>
        <v>31147</v>
      </c>
      <c r="AX66" s="47">
        <f t="shared" si="8"/>
        <v>112.08</v>
      </c>
      <c r="AY66" s="47"/>
      <c r="AZ66" s="47"/>
      <c r="BA66" s="54">
        <v>1E-4</v>
      </c>
      <c r="BB66" s="65" t="s">
        <v>193</v>
      </c>
      <c r="BC66" s="51">
        <f t="shared" si="29"/>
        <v>185.07600000000002</v>
      </c>
      <c r="BD66" s="47">
        <f t="shared" si="32"/>
        <v>128.4</v>
      </c>
      <c r="BE66" s="47">
        <f t="shared" si="30"/>
        <v>35.676000000000002</v>
      </c>
      <c r="BF66" s="47">
        <v>29730</v>
      </c>
      <c r="BG66" s="56"/>
      <c r="BH66" s="47">
        <v>21</v>
      </c>
      <c r="BI66" s="51">
        <f t="shared" si="10"/>
        <v>18</v>
      </c>
      <c r="BJ66" s="51">
        <f t="shared" si="11"/>
        <v>0</v>
      </c>
      <c r="BK66" s="47"/>
      <c r="BL66" s="47"/>
      <c r="BM66" s="47"/>
      <c r="BN66" s="47"/>
      <c r="BO66" s="47"/>
      <c r="BP66" s="63">
        <v>18</v>
      </c>
      <c r="BQ66" s="47"/>
      <c r="BR66" s="47"/>
      <c r="BS66" s="53"/>
      <c r="BT66" s="47"/>
      <c r="BU66" s="47"/>
      <c r="BV66" s="47"/>
      <c r="BW66" s="47"/>
      <c r="BX66" s="47"/>
      <c r="BY66" s="47"/>
      <c r="BZ66" s="47"/>
      <c r="CA66" s="47"/>
      <c r="CB66" s="54">
        <f t="shared" si="33"/>
        <v>1596.2540000000001</v>
      </c>
    </row>
    <row r="67" spans="1:80" ht="14.25" customHeight="1">
      <c r="A67" s="47">
        <v>60</v>
      </c>
      <c r="B67" s="47" t="s">
        <v>129</v>
      </c>
      <c r="C67" s="48">
        <v>303001</v>
      </c>
      <c r="D67" s="60" t="s">
        <v>194</v>
      </c>
      <c r="E67" s="60" t="s">
        <v>131</v>
      </c>
      <c r="F67" s="50">
        <f t="shared" si="13"/>
        <v>122</v>
      </c>
      <c r="G67" s="50">
        <v>46</v>
      </c>
      <c r="H67" s="50">
        <v>6</v>
      </c>
      <c r="I67" s="50">
        <f>65+5</f>
        <v>70</v>
      </c>
      <c r="J67" s="50"/>
      <c r="K67" s="50"/>
      <c r="L67" s="50"/>
      <c r="M67" s="50"/>
      <c r="N67" s="50">
        <f>36+1</f>
        <v>37</v>
      </c>
      <c r="O67" s="50">
        <f t="shared" si="14"/>
        <v>159</v>
      </c>
      <c r="P67" s="51">
        <f t="shared" si="0"/>
        <v>1587.1528200000002</v>
      </c>
      <c r="Q67" s="51">
        <f t="shared" si="1"/>
        <v>1390.3348200000003</v>
      </c>
      <c r="R67" s="47">
        <f t="shared" si="15"/>
        <v>361914.6</v>
      </c>
      <c r="S67" s="61">
        <v>150272</v>
      </c>
      <c r="T67" s="62">
        <v>211642.6</v>
      </c>
      <c r="U67" s="47">
        <f t="shared" si="16"/>
        <v>434.29752000000002</v>
      </c>
      <c r="V67" s="51">
        <f t="shared" si="2"/>
        <v>213.19200000000001</v>
      </c>
      <c r="W67" s="47">
        <f t="shared" si="17"/>
        <v>117</v>
      </c>
      <c r="X67" s="66">
        <v>96.191999999999993</v>
      </c>
      <c r="Y67" s="47"/>
      <c r="Z67" s="47"/>
      <c r="AA67" s="47"/>
      <c r="AB67" s="51">
        <f t="shared" si="18"/>
        <v>230.26760000000002</v>
      </c>
      <c r="AC67" s="47">
        <f t="shared" si="19"/>
        <v>15.027200000000001</v>
      </c>
      <c r="AD67" s="66">
        <v>29.697600000000001</v>
      </c>
      <c r="AE67" s="47"/>
      <c r="AF67" s="47">
        <f t="shared" si="20"/>
        <v>185.5428</v>
      </c>
      <c r="AG67" s="64">
        <v>154619</v>
      </c>
      <c r="AH67" s="47"/>
      <c r="AI67" s="47">
        <f t="shared" si="21"/>
        <v>181.3</v>
      </c>
      <c r="AJ67" s="53">
        <f t="shared" si="22"/>
        <v>149.30680000000001</v>
      </c>
      <c r="AK67" s="53">
        <f t="shared" si="23"/>
        <v>1493068</v>
      </c>
      <c r="AL67" s="47"/>
      <c r="AM67" s="47">
        <f t="shared" si="3"/>
        <v>62.548299999999998</v>
      </c>
      <c r="AN67" s="47">
        <f t="shared" si="4"/>
        <v>58.885300000000001</v>
      </c>
      <c r="AO67" s="47">
        <f t="shared" si="24"/>
        <v>588853</v>
      </c>
      <c r="AP67" s="47">
        <f t="shared" si="5"/>
        <v>3.6629999999999998</v>
      </c>
      <c r="AQ67" s="47">
        <f t="shared" si="25"/>
        <v>36630</v>
      </c>
      <c r="AR67" s="47"/>
      <c r="AS67" s="47">
        <f t="shared" si="26"/>
        <v>7.4424999999999999</v>
      </c>
      <c r="AT67" s="47">
        <f t="shared" si="6"/>
        <v>4.3956</v>
      </c>
      <c r="AU67" s="47">
        <f t="shared" si="27"/>
        <v>43956</v>
      </c>
      <c r="AV67" s="47">
        <f t="shared" si="7"/>
        <v>3.0468999999999999</v>
      </c>
      <c r="AW67" s="47">
        <f t="shared" si="28"/>
        <v>30469</v>
      </c>
      <c r="AX67" s="47">
        <f t="shared" si="8"/>
        <v>111.98009999999999</v>
      </c>
      <c r="AY67" s="47"/>
      <c r="AZ67" s="47"/>
      <c r="BA67" s="54">
        <v>1E-4</v>
      </c>
      <c r="BB67" s="65" t="s">
        <v>194</v>
      </c>
      <c r="BC67" s="51">
        <f t="shared" si="29"/>
        <v>186.46799999999999</v>
      </c>
      <c r="BD67" s="47">
        <f t="shared" si="32"/>
        <v>129.6</v>
      </c>
      <c r="BE67" s="47">
        <f t="shared" si="30"/>
        <v>35.868000000000002</v>
      </c>
      <c r="BF67" s="47">
        <v>29890</v>
      </c>
      <c r="BG67" s="56"/>
      <c r="BH67" s="47">
        <v>21</v>
      </c>
      <c r="BI67" s="51">
        <f t="shared" si="10"/>
        <v>10.35</v>
      </c>
      <c r="BJ67" s="51">
        <f t="shared" si="11"/>
        <v>0</v>
      </c>
      <c r="BK67" s="47"/>
      <c r="BL67" s="47"/>
      <c r="BM67" s="47"/>
      <c r="BN67" s="47"/>
      <c r="BO67" s="47"/>
      <c r="BP67" s="66">
        <v>10.35</v>
      </c>
      <c r="BQ67" s="47"/>
      <c r="BR67" s="47"/>
      <c r="BS67" s="53"/>
      <c r="BT67" s="47"/>
      <c r="BU67" s="47"/>
      <c r="BV67" s="47"/>
      <c r="BW67" s="47"/>
      <c r="BX67" s="47"/>
      <c r="BY67" s="47"/>
      <c r="BZ67" s="47"/>
      <c r="CA67" s="47"/>
      <c r="CB67" s="54">
        <f t="shared" si="33"/>
        <v>1587.1528200000002</v>
      </c>
    </row>
    <row r="68" spans="1:80" ht="14.25" customHeight="1">
      <c r="A68" s="47">
        <v>61</v>
      </c>
      <c r="B68" s="47" t="s">
        <v>129</v>
      </c>
      <c r="C68" s="48">
        <v>304001</v>
      </c>
      <c r="D68" s="60" t="s">
        <v>195</v>
      </c>
      <c r="E68" s="60" t="s">
        <v>131</v>
      </c>
      <c r="F68" s="50">
        <f t="shared" si="13"/>
        <v>108</v>
      </c>
      <c r="G68" s="50">
        <v>44</v>
      </c>
      <c r="H68" s="50"/>
      <c r="I68" s="50">
        <v>64</v>
      </c>
      <c r="J68" s="50"/>
      <c r="K68" s="50"/>
      <c r="L68" s="50"/>
      <c r="M68" s="50"/>
      <c r="N68" s="50">
        <f>52+4+1</f>
        <v>57</v>
      </c>
      <c r="O68" s="50">
        <f t="shared" si="14"/>
        <v>165</v>
      </c>
      <c r="P68" s="51">
        <f t="shared" si="0"/>
        <v>1386.0773999999999</v>
      </c>
      <c r="Q68" s="51">
        <f t="shared" si="1"/>
        <v>1197.7282</v>
      </c>
      <c r="R68" s="47">
        <f t="shared" si="15"/>
        <v>317233</v>
      </c>
      <c r="S68" s="61">
        <v>122228</v>
      </c>
      <c r="T68" s="62">
        <v>195005</v>
      </c>
      <c r="U68" s="47">
        <f t="shared" si="16"/>
        <v>380.67959999999999</v>
      </c>
      <c r="V68" s="51">
        <f t="shared" si="2"/>
        <v>183.91200000000001</v>
      </c>
      <c r="W68" s="47">
        <f t="shared" si="17"/>
        <v>99</v>
      </c>
      <c r="X68" s="66">
        <v>84.912000000000006</v>
      </c>
      <c r="Y68" s="47"/>
      <c r="Z68" s="47"/>
      <c r="AA68" s="47"/>
      <c r="AB68" s="51">
        <f t="shared" si="18"/>
        <v>181.35079999999999</v>
      </c>
      <c r="AC68" s="47">
        <f t="shared" si="19"/>
        <v>12.222799999999999</v>
      </c>
      <c r="AD68" s="66">
        <v>26.558399999999999</v>
      </c>
      <c r="AE68" s="47"/>
      <c r="AF68" s="47">
        <f t="shared" si="20"/>
        <v>142.56960000000001</v>
      </c>
      <c r="AG68" s="64">
        <v>118808</v>
      </c>
      <c r="AH68" s="47"/>
      <c r="AI68" s="47">
        <f t="shared" si="21"/>
        <v>165.76</v>
      </c>
      <c r="AJ68" s="53">
        <f t="shared" si="22"/>
        <v>128.03710000000001</v>
      </c>
      <c r="AK68" s="53">
        <f t="shared" si="23"/>
        <v>1280371</v>
      </c>
      <c r="AL68" s="47"/>
      <c r="AM68" s="47">
        <f t="shared" si="3"/>
        <v>55.289900000000003</v>
      </c>
      <c r="AN68" s="47">
        <f t="shared" si="4"/>
        <v>52.0627</v>
      </c>
      <c r="AO68" s="47">
        <f t="shared" si="24"/>
        <v>520627</v>
      </c>
      <c r="AP68" s="47">
        <f t="shared" si="5"/>
        <v>3.2271999999999998</v>
      </c>
      <c r="AQ68" s="47">
        <f t="shared" si="25"/>
        <v>32272</v>
      </c>
      <c r="AR68" s="47"/>
      <c r="AS68" s="47">
        <f t="shared" si="26"/>
        <v>6.6710000000000003</v>
      </c>
      <c r="AT68" s="47">
        <f t="shared" si="6"/>
        <v>3.8725999999999998</v>
      </c>
      <c r="AU68" s="47">
        <f t="shared" si="27"/>
        <v>38726</v>
      </c>
      <c r="AV68" s="47">
        <f t="shared" si="7"/>
        <v>2.7984</v>
      </c>
      <c r="AW68" s="47">
        <f t="shared" si="28"/>
        <v>27984</v>
      </c>
      <c r="AX68" s="47">
        <f t="shared" si="8"/>
        <v>96.027799999999999</v>
      </c>
      <c r="AY68" s="47"/>
      <c r="AZ68" s="47"/>
      <c r="BA68" s="54">
        <v>1E-4</v>
      </c>
      <c r="BB68" s="65" t="s">
        <v>195</v>
      </c>
      <c r="BC68" s="51">
        <f t="shared" si="29"/>
        <v>179.12</v>
      </c>
      <c r="BD68" s="47">
        <f t="shared" si="32"/>
        <v>114.24</v>
      </c>
      <c r="BE68" s="47">
        <f t="shared" si="30"/>
        <v>29.88</v>
      </c>
      <c r="BF68" s="47">
        <v>24900</v>
      </c>
      <c r="BG68" s="56"/>
      <c r="BH68" s="47">
        <v>35</v>
      </c>
      <c r="BI68" s="51">
        <f t="shared" si="10"/>
        <v>9.2292000000000005</v>
      </c>
      <c r="BJ68" s="51">
        <f t="shared" si="11"/>
        <v>0</v>
      </c>
      <c r="BK68" s="47"/>
      <c r="BL68" s="47"/>
      <c r="BM68" s="47"/>
      <c r="BN68" s="47"/>
      <c r="BO68" s="47"/>
      <c r="BP68" s="66">
        <v>9.2292000000000005</v>
      </c>
      <c r="BQ68" s="47"/>
      <c r="BR68" s="47"/>
      <c r="BS68" s="53"/>
      <c r="BT68" s="47"/>
      <c r="BU68" s="47"/>
      <c r="BV68" s="47"/>
      <c r="BW68" s="47"/>
      <c r="BX68" s="47"/>
      <c r="BY68" s="47"/>
      <c r="BZ68" s="47"/>
      <c r="CA68" s="47"/>
      <c r="CB68" s="54">
        <f t="shared" si="33"/>
        <v>1386.0773999999999</v>
      </c>
    </row>
    <row r="69" spans="1:80" ht="14.25" customHeight="1">
      <c r="A69" s="47">
        <v>62</v>
      </c>
      <c r="B69" s="47" t="s">
        <v>129</v>
      </c>
      <c r="C69" s="48">
        <v>305001</v>
      </c>
      <c r="D69" s="60" t="s">
        <v>196</v>
      </c>
      <c r="E69" s="60" t="s">
        <v>131</v>
      </c>
      <c r="F69" s="50">
        <f t="shared" si="13"/>
        <v>81</v>
      </c>
      <c r="G69" s="50">
        <v>29</v>
      </c>
      <c r="H69" s="50">
        <v>8</v>
      </c>
      <c r="I69" s="50">
        <v>44</v>
      </c>
      <c r="J69" s="50"/>
      <c r="K69" s="50"/>
      <c r="L69" s="50"/>
      <c r="M69" s="50"/>
      <c r="N69" s="50">
        <f>17+1</f>
        <v>18</v>
      </c>
      <c r="O69" s="50">
        <f t="shared" si="14"/>
        <v>99</v>
      </c>
      <c r="P69" s="51">
        <f t="shared" si="0"/>
        <v>1051.6222</v>
      </c>
      <c r="Q69" s="51">
        <f t="shared" si="1"/>
        <v>916.35220000000015</v>
      </c>
      <c r="R69" s="47">
        <f t="shared" si="15"/>
        <v>238682</v>
      </c>
      <c r="S69" s="61">
        <v>106801</v>
      </c>
      <c r="T69" s="62">
        <v>131881</v>
      </c>
      <c r="U69" s="47">
        <f t="shared" si="16"/>
        <v>286.41840000000002</v>
      </c>
      <c r="V69" s="51">
        <f t="shared" si="2"/>
        <v>150.32999999999998</v>
      </c>
      <c r="W69" s="47">
        <f t="shared" si="17"/>
        <v>83.25</v>
      </c>
      <c r="X69" s="66">
        <v>67.08</v>
      </c>
      <c r="Y69" s="67"/>
      <c r="Z69" s="47"/>
      <c r="AA69" s="47"/>
      <c r="AB69" s="51">
        <f t="shared" si="18"/>
        <v>148.1173</v>
      </c>
      <c r="AC69" s="47">
        <f t="shared" si="19"/>
        <v>10.680099999999999</v>
      </c>
      <c r="AD69" s="66">
        <v>19.332000000000001</v>
      </c>
      <c r="AE69" s="47"/>
      <c r="AF69" s="47">
        <f t="shared" si="20"/>
        <v>118.1052</v>
      </c>
      <c r="AG69" s="64">
        <v>98421</v>
      </c>
      <c r="AH69" s="47"/>
      <c r="AI69" s="47">
        <f t="shared" si="21"/>
        <v>113.96</v>
      </c>
      <c r="AJ69" s="53">
        <f t="shared" si="22"/>
        <v>97.986199999999997</v>
      </c>
      <c r="AK69" s="53">
        <f t="shared" si="23"/>
        <v>979862</v>
      </c>
      <c r="AL69" s="47"/>
      <c r="AM69" s="47">
        <f t="shared" si="3"/>
        <v>41.243400000000001</v>
      </c>
      <c r="AN69" s="47">
        <f t="shared" si="4"/>
        <v>38.825299999999999</v>
      </c>
      <c r="AO69" s="47">
        <f t="shared" si="24"/>
        <v>388253</v>
      </c>
      <c r="AP69" s="47">
        <f t="shared" si="5"/>
        <v>2.4180999999999999</v>
      </c>
      <c r="AQ69" s="47">
        <f t="shared" si="25"/>
        <v>24181</v>
      </c>
      <c r="AR69" s="47"/>
      <c r="AS69" s="47">
        <f t="shared" si="26"/>
        <v>4.8072999999999997</v>
      </c>
      <c r="AT69" s="47">
        <f t="shared" si="6"/>
        <v>2.9018000000000002</v>
      </c>
      <c r="AU69" s="47">
        <f t="shared" si="27"/>
        <v>29018</v>
      </c>
      <c r="AV69" s="47">
        <f t="shared" si="7"/>
        <v>1.9055</v>
      </c>
      <c r="AW69" s="47">
        <f t="shared" si="28"/>
        <v>19055</v>
      </c>
      <c r="AX69" s="47">
        <f t="shared" si="8"/>
        <v>73.489599999999996</v>
      </c>
      <c r="AY69" s="47"/>
      <c r="AZ69" s="47"/>
      <c r="BA69" s="54">
        <v>1E-4</v>
      </c>
      <c r="BB69" s="65" t="s">
        <v>196</v>
      </c>
      <c r="BC69" s="51">
        <f t="shared" si="29"/>
        <v>132.47999999999999</v>
      </c>
      <c r="BD69" s="47">
        <f t="shared" si="32"/>
        <v>86.639999999999986</v>
      </c>
      <c r="BE69" s="47">
        <f t="shared" si="30"/>
        <v>24.84</v>
      </c>
      <c r="BF69" s="47">
        <v>20700</v>
      </c>
      <c r="BG69" s="56"/>
      <c r="BH69" s="47">
        <v>21</v>
      </c>
      <c r="BI69" s="51">
        <f t="shared" si="10"/>
        <v>2.79</v>
      </c>
      <c r="BJ69" s="51">
        <f t="shared" si="11"/>
        <v>0</v>
      </c>
      <c r="BK69" s="47"/>
      <c r="BL69" s="47"/>
      <c r="BM69" s="47"/>
      <c r="BN69" s="47"/>
      <c r="BO69" s="47"/>
      <c r="BP69" s="66">
        <v>2.79</v>
      </c>
      <c r="BQ69" s="47"/>
      <c r="BR69" s="47"/>
      <c r="BS69" s="53"/>
      <c r="BT69" s="47"/>
      <c r="BU69" s="47"/>
      <c r="BV69" s="47"/>
      <c r="BW69" s="47"/>
      <c r="BX69" s="47"/>
      <c r="BY69" s="47"/>
      <c r="BZ69" s="47"/>
      <c r="CA69" s="47"/>
      <c r="CB69" s="54">
        <f t="shared" si="33"/>
        <v>1051.6222</v>
      </c>
    </row>
    <row r="70" spans="1:80" ht="14.25" customHeight="1">
      <c r="A70" s="47">
        <v>63</v>
      </c>
      <c r="B70" s="47" t="s">
        <v>129</v>
      </c>
      <c r="C70" s="48">
        <v>306001</v>
      </c>
      <c r="D70" s="60" t="s">
        <v>197</v>
      </c>
      <c r="E70" s="60" t="s">
        <v>131</v>
      </c>
      <c r="F70" s="50">
        <f t="shared" si="13"/>
        <v>63</v>
      </c>
      <c r="G70" s="50">
        <v>27</v>
      </c>
      <c r="H70" s="50">
        <v>3</v>
      </c>
      <c r="I70" s="50">
        <f>31+2</f>
        <v>33</v>
      </c>
      <c r="J70" s="50"/>
      <c r="K70" s="50"/>
      <c r="L70" s="50"/>
      <c r="M70" s="50"/>
      <c r="N70" s="50">
        <f>12+4</f>
        <v>16</v>
      </c>
      <c r="O70" s="50">
        <f t="shared" si="14"/>
        <v>79</v>
      </c>
      <c r="P70" s="51">
        <f t="shared" si="0"/>
        <v>810.09879999999998</v>
      </c>
      <c r="Q70" s="51">
        <f t="shared" si="1"/>
        <v>699.79079999999999</v>
      </c>
      <c r="R70" s="47">
        <f t="shared" si="15"/>
        <v>178807</v>
      </c>
      <c r="S70" s="61">
        <v>79785</v>
      </c>
      <c r="T70" s="62">
        <v>99022</v>
      </c>
      <c r="U70" s="47">
        <f t="shared" si="16"/>
        <v>214.5684</v>
      </c>
      <c r="V70" s="51">
        <f t="shared" si="2"/>
        <v>117.324</v>
      </c>
      <c r="W70" s="47">
        <f t="shared" si="17"/>
        <v>67.5</v>
      </c>
      <c r="X70" s="66">
        <v>49.823999999999998</v>
      </c>
      <c r="Y70" s="47"/>
      <c r="Z70" s="47"/>
      <c r="AA70" s="47"/>
      <c r="AB70" s="51">
        <f t="shared" si="18"/>
        <v>116.3541</v>
      </c>
      <c r="AC70" s="47">
        <f t="shared" si="19"/>
        <v>7.9785000000000004</v>
      </c>
      <c r="AD70" s="66">
        <v>15.756</v>
      </c>
      <c r="AE70" s="47"/>
      <c r="AF70" s="47">
        <f t="shared" si="20"/>
        <v>92.619600000000005</v>
      </c>
      <c r="AG70" s="64">
        <v>77183</v>
      </c>
      <c r="AH70" s="47"/>
      <c r="AI70" s="47">
        <f t="shared" si="21"/>
        <v>85.47</v>
      </c>
      <c r="AJ70" s="53">
        <f t="shared" si="22"/>
        <v>74.901799999999994</v>
      </c>
      <c r="AK70" s="53">
        <f t="shared" si="23"/>
        <v>749018</v>
      </c>
      <c r="AL70" s="47"/>
      <c r="AM70" s="47">
        <f t="shared" si="3"/>
        <v>31.360800000000001</v>
      </c>
      <c r="AN70" s="47">
        <f t="shared" si="4"/>
        <v>29.523099999999999</v>
      </c>
      <c r="AO70" s="47">
        <f t="shared" si="24"/>
        <v>295231</v>
      </c>
      <c r="AP70" s="47">
        <f t="shared" si="5"/>
        <v>1.8376999999999999</v>
      </c>
      <c r="AQ70" s="47">
        <f t="shared" si="25"/>
        <v>18377</v>
      </c>
      <c r="AR70" s="47"/>
      <c r="AS70" s="47">
        <f t="shared" si="26"/>
        <v>3.6353</v>
      </c>
      <c r="AT70" s="47">
        <f t="shared" si="6"/>
        <v>2.2052</v>
      </c>
      <c r="AU70" s="47">
        <f t="shared" si="27"/>
        <v>22052</v>
      </c>
      <c r="AV70" s="47">
        <f t="shared" si="7"/>
        <v>1.4300999999999999</v>
      </c>
      <c r="AW70" s="47">
        <f t="shared" si="28"/>
        <v>14301</v>
      </c>
      <c r="AX70" s="47">
        <f t="shared" si="8"/>
        <v>56.176400000000001</v>
      </c>
      <c r="AY70" s="47"/>
      <c r="AZ70" s="47"/>
      <c r="BA70" s="54">
        <v>1E-4</v>
      </c>
      <c r="BB70" s="65" t="s">
        <v>197</v>
      </c>
      <c r="BC70" s="51">
        <f t="shared" si="29"/>
        <v>105.34</v>
      </c>
      <c r="BD70" s="47">
        <f t="shared" si="32"/>
        <v>67.680000000000007</v>
      </c>
      <c r="BE70" s="47">
        <f t="shared" si="30"/>
        <v>20.16</v>
      </c>
      <c r="BF70" s="47">
        <v>16800</v>
      </c>
      <c r="BG70" s="56"/>
      <c r="BH70" s="47">
        <v>17.5</v>
      </c>
      <c r="BI70" s="51">
        <f t="shared" si="10"/>
        <v>4.968</v>
      </c>
      <c r="BJ70" s="51">
        <f t="shared" si="11"/>
        <v>0</v>
      </c>
      <c r="BK70" s="47"/>
      <c r="BL70" s="47"/>
      <c r="BM70" s="47"/>
      <c r="BN70" s="47"/>
      <c r="BO70" s="47"/>
      <c r="BP70" s="66">
        <v>4.968</v>
      </c>
      <c r="BQ70" s="47"/>
      <c r="BR70" s="47"/>
      <c r="BS70" s="53"/>
      <c r="BT70" s="47"/>
      <c r="BU70" s="47"/>
      <c r="BV70" s="47"/>
      <c r="BW70" s="47"/>
      <c r="BX70" s="47"/>
      <c r="BY70" s="47"/>
      <c r="BZ70" s="47"/>
      <c r="CA70" s="47"/>
      <c r="CB70" s="54">
        <f t="shared" si="33"/>
        <v>810.09879999999998</v>
      </c>
    </row>
    <row r="71" spans="1:80" ht="14.25" customHeight="1">
      <c r="A71" s="47">
        <v>64</v>
      </c>
      <c r="B71" s="47" t="s">
        <v>129</v>
      </c>
      <c r="C71" s="48">
        <v>307001</v>
      </c>
      <c r="D71" s="60" t="s">
        <v>198</v>
      </c>
      <c r="E71" s="60" t="s">
        <v>131</v>
      </c>
      <c r="F71" s="50">
        <f t="shared" si="13"/>
        <v>89</v>
      </c>
      <c r="G71" s="50">
        <f>35-4</f>
        <v>31</v>
      </c>
      <c r="H71" s="50">
        <v>8</v>
      </c>
      <c r="I71" s="50">
        <f>51-1</f>
        <v>50</v>
      </c>
      <c r="J71" s="50"/>
      <c r="K71" s="50"/>
      <c r="L71" s="50"/>
      <c r="M71" s="50"/>
      <c r="N71" s="50">
        <v>30</v>
      </c>
      <c r="O71" s="50">
        <f t="shared" si="14"/>
        <v>119</v>
      </c>
      <c r="P71" s="51">
        <f t="shared" si="0"/>
        <v>1167.5253</v>
      </c>
      <c r="Q71" s="51">
        <f t="shared" si="1"/>
        <v>1013.8933000000001</v>
      </c>
      <c r="R71" s="47">
        <f t="shared" si="15"/>
        <v>262753</v>
      </c>
      <c r="S71" s="61">
        <v>109358</v>
      </c>
      <c r="T71" s="62">
        <v>153395</v>
      </c>
      <c r="U71" s="47">
        <f t="shared" si="16"/>
        <v>315.30360000000002</v>
      </c>
      <c r="V71" s="51">
        <f t="shared" si="2"/>
        <v>161.11799999999999</v>
      </c>
      <c r="W71" s="47">
        <f t="shared" si="17"/>
        <v>87.75</v>
      </c>
      <c r="X71" s="66">
        <v>73.367999999999995</v>
      </c>
      <c r="Y71" s="47"/>
      <c r="Z71" s="47"/>
      <c r="AA71" s="47"/>
      <c r="AB71" s="51">
        <f t="shared" si="18"/>
        <v>167.22379999999998</v>
      </c>
      <c r="AC71" s="47">
        <f t="shared" si="19"/>
        <v>10.9358</v>
      </c>
      <c r="AD71" s="66">
        <v>21.686399999999999</v>
      </c>
      <c r="AE71" s="47"/>
      <c r="AF71" s="47">
        <f t="shared" si="20"/>
        <v>134.60159999999999</v>
      </c>
      <c r="AG71" s="64">
        <v>112168</v>
      </c>
      <c r="AH71" s="47"/>
      <c r="AI71" s="47">
        <f t="shared" si="21"/>
        <v>129.5</v>
      </c>
      <c r="AJ71" s="53">
        <f t="shared" si="22"/>
        <v>108.49460000000001</v>
      </c>
      <c r="AK71" s="53">
        <f t="shared" si="23"/>
        <v>1084946</v>
      </c>
      <c r="AL71" s="47"/>
      <c r="AM71" s="47">
        <f t="shared" si="3"/>
        <v>45.492100000000001</v>
      </c>
      <c r="AN71" s="47">
        <f t="shared" si="4"/>
        <v>42.829300000000003</v>
      </c>
      <c r="AO71" s="47">
        <f t="shared" si="24"/>
        <v>428293.00000000006</v>
      </c>
      <c r="AP71" s="47">
        <f t="shared" si="5"/>
        <v>2.6627999999999998</v>
      </c>
      <c r="AQ71" s="47">
        <f t="shared" si="25"/>
        <v>26628</v>
      </c>
      <c r="AR71" s="47"/>
      <c r="AS71" s="47">
        <f t="shared" si="26"/>
        <v>5.3902999999999999</v>
      </c>
      <c r="AT71" s="47">
        <f t="shared" si="6"/>
        <v>3.1953</v>
      </c>
      <c r="AU71" s="47">
        <f t="shared" si="27"/>
        <v>31953</v>
      </c>
      <c r="AV71" s="47">
        <f t="shared" si="7"/>
        <v>2.1949999999999998</v>
      </c>
      <c r="AW71" s="47">
        <f t="shared" si="28"/>
        <v>21950</v>
      </c>
      <c r="AX71" s="47">
        <f t="shared" si="8"/>
        <v>81.370900000000006</v>
      </c>
      <c r="AY71" s="47"/>
      <c r="AZ71" s="47"/>
      <c r="BA71" s="54">
        <v>1E-4</v>
      </c>
      <c r="BB71" s="65" t="s">
        <v>198</v>
      </c>
      <c r="BC71" s="51">
        <f t="shared" si="29"/>
        <v>145.1</v>
      </c>
      <c r="BD71" s="47">
        <f t="shared" si="32"/>
        <v>94.8</v>
      </c>
      <c r="BE71" s="47">
        <f t="shared" si="30"/>
        <v>25.8</v>
      </c>
      <c r="BF71" s="47">
        <v>21500</v>
      </c>
      <c r="BG71" s="56"/>
      <c r="BH71" s="47">
        <v>24.5</v>
      </c>
      <c r="BI71" s="51">
        <f t="shared" si="10"/>
        <v>8.532</v>
      </c>
      <c r="BJ71" s="51">
        <f t="shared" si="11"/>
        <v>0</v>
      </c>
      <c r="BK71" s="47"/>
      <c r="BL71" s="47"/>
      <c r="BM71" s="47"/>
      <c r="BN71" s="47"/>
      <c r="BO71" s="47"/>
      <c r="BP71" s="66">
        <v>8.532</v>
      </c>
      <c r="BQ71" s="47"/>
      <c r="BR71" s="47"/>
      <c r="BS71" s="53"/>
      <c r="BT71" s="47"/>
      <c r="BU71" s="47"/>
      <c r="BV71" s="47"/>
      <c r="BW71" s="47"/>
      <c r="BX71" s="47"/>
      <c r="BY71" s="47"/>
      <c r="BZ71" s="47"/>
      <c r="CA71" s="47"/>
      <c r="CB71" s="54">
        <f t="shared" si="33"/>
        <v>1167.5253</v>
      </c>
    </row>
    <row r="72" spans="1:80" ht="14.25" customHeight="1">
      <c r="A72" s="47">
        <v>65</v>
      </c>
      <c r="B72" s="47" t="s">
        <v>129</v>
      </c>
      <c r="C72" s="48">
        <v>308001</v>
      </c>
      <c r="D72" s="60" t="s">
        <v>199</v>
      </c>
      <c r="E72" s="60" t="s">
        <v>131</v>
      </c>
      <c r="F72" s="50">
        <f t="shared" si="13"/>
        <v>103</v>
      </c>
      <c r="G72" s="50">
        <v>36</v>
      </c>
      <c r="H72" s="50">
        <v>3</v>
      </c>
      <c r="I72" s="50">
        <v>64</v>
      </c>
      <c r="J72" s="50"/>
      <c r="K72" s="50"/>
      <c r="L72" s="50"/>
      <c r="M72" s="50"/>
      <c r="N72" s="50">
        <f>29+1</f>
        <v>30</v>
      </c>
      <c r="O72" s="50">
        <f t="shared" si="14"/>
        <v>133</v>
      </c>
      <c r="P72" s="51">
        <f t="shared" ref="P72:P135" si="34">Q72+BC72+BI72</f>
        <v>1321.2266000000002</v>
      </c>
      <c r="Q72" s="51">
        <f t="shared" ref="Q72:Q135" si="35">U72+V72+AB72+AH72+AI72+AJ72+AL72+AM72+AR72+AS72+AX72+AY72+AZ72</f>
        <v>1158.0506</v>
      </c>
      <c r="R72" s="47">
        <f t="shared" si="15"/>
        <v>297174</v>
      </c>
      <c r="S72" s="61">
        <v>103599</v>
      </c>
      <c r="T72" s="62">
        <v>193575</v>
      </c>
      <c r="U72" s="47">
        <f t="shared" si="16"/>
        <v>356.60879999999997</v>
      </c>
      <c r="V72" s="51">
        <f t="shared" si="2"/>
        <v>171.55799999999999</v>
      </c>
      <c r="W72" s="47">
        <f t="shared" si="17"/>
        <v>87.75</v>
      </c>
      <c r="X72" s="66">
        <v>83.808000000000007</v>
      </c>
      <c r="Y72" s="47"/>
      <c r="Z72" s="47"/>
      <c r="AA72" s="47"/>
      <c r="AB72" s="51">
        <f t="shared" si="18"/>
        <v>188.97149999999999</v>
      </c>
      <c r="AC72" s="47">
        <f t="shared" si="19"/>
        <v>10.3599</v>
      </c>
      <c r="AD72" s="66">
        <v>25.447199999999999</v>
      </c>
      <c r="AE72" s="47"/>
      <c r="AF72" s="47">
        <f t="shared" si="20"/>
        <v>153.1644</v>
      </c>
      <c r="AG72" s="64">
        <v>127637</v>
      </c>
      <c r="AH72" s="47"/>
      <c r="AI72" s="47">
        <f t="shared" si="21"/>
        <v>165.76</v>
      </c>
      <c r="AJ72" s="53">
        <f t="shared" si="22"/>
        <v>123.7829</v>
      </c>
      <c r="AK72" s="53">
        <f t="shared" si="23"/>
        <v>1237829</v>
      </c>
      <c r="AL72" s="47"/>
      <c r="AM72" s="47">
        <f t="shared" ref="AM72:AM105" si="36">ROUND(((U72+W72+AI72)*0.085+N72*0.0075),4)</f>
        <v>52.085099999999997</v>
      </c>
      <c r="AN72" s="47">
        <f t="shared" ref="AN72:AN105" si="37">ROUND(((U72+W72+AI72)*0.08+N72*0.0075),4)</f>
        <v>49.034500000000001</v>
      </c>
      <c r="AO72" s="47">
        <f t="shared" si="24"/>
        <v>490345</v>
      </c>
      <c r="AP72" s="47">
        <f t="shared" ref="AP72:AP135" si="38">ROUND(((U72+W72+AI72)*0.005),4)</f>
        <v>3.0506000000000002</v>
      </c>
      <c r="AQ72" s="47">
        <f t="shared" si="25"/>
        <v>30506.000000000004</v>
      </c>
      <c r="AR72" s="47"/>
      <c r="AS72" s="47">
        <f t="shared" si="26"/>
        <v>6.4470999999999998</v>
      </c>
      <c r="AT72" s="47">
        <f t="shared" ref="AT72:AT105" si="39">ROUND(((U72+W72+AI72)*0.006),4)</f>
        <v>3.6606999999999998</v>
      </c>
      <c r="AU72" s="47">
        <f t="shared" si="27"/>
        <v>36607</v>
      </c>
      <c r="AV72" s="47">
        <f t="shared" ref="AV72:AV105" si="40">ROUND(((T72*12/10000+AI72)*0.007),4)</f>
        <v>2.7864</v>
      </c>
      <c r="AW72" s="47">
        <f t="shared" si="28"/>
        <v>27864</v>
      </c>
      <c r="AX72" s="47">
        <f t="shared" ref="AX72:AX112" si="41">ROUND((U72+W72+AC72+AE72+AF72+AI72)*0.12,4)</f>
        <v>92.837199999999996</v>
      </c>
      <c r="AY72" s="47"/>
      <c r="AZ72" s="47"/>
      <c r="BA72" s="54">
        <v>1E-4</v>
      </c>
      <c r="BB72" s="65" t="s">
        <v>199</v>
      </c>
      <c r="BC72" s="51">
        <f t="shared" si="29"/>
        <v>155.4</v>
      </c>
      <c r="BD72" s="47">
        <f t="shared" si="32"/>
        <v>108.24</v>
      </c>
      <c r="BE72" s="47">
        <f t="shared" si="30"/>
        <v>26.16</v>
      </c>
      <c r="BF72" s="47">
        <v>21800</v>
      </c>
      <c r="BG72" s="56"/>
      <c r="BH72" s="47">
        <v>21</v>
      </c>
      <c r="BI72" s="51">
        <f t="shared" ref="BI72:BI135" si="42">BJ72+BN72+BO72+BP72+BQ72+BS72+BT72+BU72+BV72+BW72+BR72</f>
        <v>7.7759999999999998</v>
      </c>
      <c r="BJ72" s="51">
        <f t="shared" ref="BJ72:BJ135" si="43">BL72+BM72+BK72</f>
        <v>0</v>
      </c>
      <c r="BK72" s="47"/>
      <c r="BL72" s="47"/>
      <c r="BM72" s="47"/>
      <c r="BN72" s="47"/>
      <c r="BO72" s="47"/>
      <c r="BP72" s="66">
        <v>7.7759999999999998</v>
      </c>
      <c r="BQ72" s="47"/>
      <c r="BR72" s="47"/>
      <c r="BS72" s="53"/>
      <c r="BT72" s="47"/>
      <c r="BU72" s="47"/>
      <c r="BV72" s="47"/>
      <c r="BW72" s="47"/>
      <c r="BX72" s="47"/>
      <c r="BY72" s="47"/>
      <c r="BZ72" s="47"/>
      <c r="CA72" s="47"/>
      <c r="CB72" s="54">
        <f t="shared" ref="CB72:CB103" si="44">P72+BX72+BZ72+BY72+CA72</f>
        <v>1321.2266000000002</v>
      </c>
    </row>
    <row r="73" spans="1:80" ht="14.25" customHeight="1">
      <c r="A73" s="47">
        <v>66</v>
      </c>
      <c r="B73" s="47" t="s">
        <v>129</v>
      </c>
      <c r="C73" s="48">
        <v>309001</v>
      </c>
      <c r="D73" s="60" t="s">
        <v>200</v>
      </c>
      <c r="E73" s="60" t="s">
        <v>131</v>
      </c>
      <c r="F73" s="50">
        <f t="shared" ref="F73:F136" si="45">SUM(G73:K73)</f>
        <v>144</v>
      </c>
      <c r="G73" s="50">
        <v>59</v>
      </c>
      <c r="H73" s="50">
        <v>8</v>
      </c>
      <c r="I73" s="50">
        <v>77</v>
      </c>
      <c r="J73" s="50"/>
      <c r="K73" s="50"/>
      <c r="L73" s="50"/>
      <c r="M73" s="50"/>
      <c r="N73" s="50">
        <v>63</v>
      </c>
      <c r="O73" s="50">
        <f t="shared" ref="O73:O136" si="46">F73+L73+M73+N73</f>
        <v>207</v>
      </c>
      <c r="P73" s="51">
        <f t="shared" si="34"/>
        <v>1874.69192</v>
      </c>
      <c r="Q73" s="51">
        <f t="shared" si="35"/>
        <v>1615.1779200000001</v>
      </c>
      <c r="R73" s="47">
        <f t="shared" ref="R73:R136" si="47">S73+T73</f>
        <v>422867.6</v>
      </c>
      <c r="S73" s="61">
        <v>182874.6</v>
      </c>
      <c r="T73" s="62">
        <v>239993</v>
      </c>
      <c r="U73" s="47">
        <f t="shared" ref="U73:U136" si="48">ROUND(R73*12/10000,5)</f>
        <v>507.44112000000001</v>
      </c>
      <c r="V73" s="51">
        <f t="shared" si="2"/>
        <v>265.06200000000001</v>
      </c>
      <c r="W73" s="47">
        <f t="shared" ref="W73:W136" si="49">ROUND((G73+H73)*2.25,4)</f>
        <v>150.75</v>
      </c>
      <c r="X73" s="66">
        <v>114.312</v>
      </c>
      <c r="Y73" s="47"/>
      <c r="Z73" s="47"/>
      <c r="AA73" s="47"/>
      <c r="AB73" s="51">
        <f t="shared" ref="AB73:AB92" si="50">SUM(AC73:AF73)</f>
        <v>258.65949999999998</v>
      </c>
      <c r="AC73" s="47">
        <f t="shared" ref="AC73:AC136" si="51">ROUND(S73/10000,4)</f>
        <v>18.287500000000001</v>
      </c>
      <c r="AD73" s="66">
        <v>35.361600000000003</v>
      </c>
      <c r="AE73" s="47"/>
      <c r="AF73" s="47">
        <f t="shared" ref="AF73:AF123" si="52">ROUND(AG73*12/10000,4)</f>
        <v>205.0104</v>
      </c>
      <c r="AG73" s="64">
        <v>170842</v>
      </c>
      <c r="AH73" s="47"/>
      <c r="AI73" s="47">
        <f t="shared" ref="AI73:AI136" si="53">ROUND(2.59*(I73+J73+K73),4)</f>
        <v>199.43</v>
      </c>
      <c r="AJ73" s="53">
        <f t="shared" ref="AJ73:AJ121" si="54">ROUND((U73+W73+AC73+AE73+AF73+AI73)*0.16,4)</f>
        <v>172.947</v>
      </c>
      <c r="AK73" s="53">
        <f t="shared" ref="AK73:AK136" si="55">AJ73*10000</f>
        <v>1729470</v>
      </c>
      <c r="AL73" s="47"/>
      <c r="AM73" s="47">
        <f t="shared" si="36"/>
        <v>73.3703</v>
      </c>
      <c r="AN73" s="47">
        <f t="shared" si="37"/>
        <v>69.0822</v>
      </c>
      <c r="AO73" s="47">
        <f t="shared" ref="AO73:AO136" si="56">AN73*10000</f>
        <v>690822</v>
      </c>
      <c r="AP73" s="47">
        <f t="shared" si="38"/>
        <v>4.2881</v>
      </c>
      <c r="AQ73" s="47">
        <f t="shared" ref="AQ73:AQ136" si="57">AP73*10000</f>
        <v>42881</v>
      </c>
      <c r="AR73" s="47"/>
      <c r="AS73" s="47">
        <f t="shared" ref="AS73:AS123" si="58">ROUND(((T73*12/10000+AI73)*0.007+(U73+W73+AI73)*0.006),4)</f>
        <v>8.5577000000000005</v>
      </c>
      <c r="AT73" s="47">
        <f t="shared" si="39"/>
        <v>5.1456999999999997</v>
      </c>
      <c r="AU73" s="47">
        <f t="shared" ref="AU73:AU136" si="59">AT73*10000</f>
        <v>51457</v>
      </c>
      <c r="AV73" s="47">
        <f t="shared" si="40"/>
        <v>3.4119999999999999</v>
      </c>
      <c r="AW73" s="47">
        <f t="shared" ref="AW73:AW136" si="60">AV73*10000</f>
        <v>34120</v>
      </c>
      <c r="AX73" s="47">
        <f t="shared" si="41"/>
        <v>129.71029999999999</v>
      </c>
      <c r="AY73" s="47"/>
      <c r="AZ73" s="47"/>
      <c r="BA73" s="54">
        <v>1E-4</v>
      </c>
      <c r="BB73" s="65" t="s">
        <v>200</v>
      </c>
      <c r="BC73" s="51">
        <f t="shared" ref="BC73:BC136" si="61">BD73+BE73+BG73+BH73</f>
        <v>233.54</v>
      </c>
      <c r="BD73" s="47">
        <f t="shared" si="32"/>
        <v>154.32</v>
      </c>
      <c r="BE73" s="47">
        <f t="shared" ref="BE73:BE136" si="62">ROUND(BF73*12/10000,4)</f>
        <v>44.22</v>
      </c>
      <c r="BF73" s="47">
        <v>36850</v>
      </c>
      <c r="BG73" s="56"/>
      <c r="BH73" s="47">
        <v>35</v>
      </c>
      <c r="BI73" s="51">
        <f t="shared" si="42"/>
        <v>25.974</v>
      </c>
      <c r="BJ73" s="51">
        <f t="shared" si="43"/>
        <v>0</v>
      </c>
      <c r="BK73" s="47"/>
      <c r="BL73" s="47"/>
      <c r="BM73" s="47"/>
      <c r="BN73" s="47"/>
      <c r="BO73" s="47"/>
      <c r="BP73" s="66">
        <v>25.974</v>
      </c>
      <c r="BQ73" s="47"/>
      <c r="BR73" s="47"/>
      <c r="BS73" s="53"/>
      <c r="BT73" s="47"/>
      <c r="BU73" s="47"/>
      <c r="BV73" s="47"/>
      <c r="BW73" s="47"/>
      <c r="BX73" s="47"/>
      <c r="BY73" s="47"/>
      <c r="BZ73" s="47"/>
      <c r="CA73" s="47"/>
      <c r="CB73" s="54">
        <f t="shared" si="44"/>
        <v>1874.69192</v>
      </c>
    </row>
    <row r="74" spans="1:80" ht="14.25" customHeight="1">
      <c r="A74" s="47">
        <v>67</v>
      </c>
      <c r="B74" s="47" t="s">
        <v>129</v>
      </c>
      <c r="C74" s="48">
        <v>310001</v>
      </c>
      <c r="D74" s="60" t="s">
        <v>201</v>
      </c>
      <c r="E74" s="60" t="s">
        <v>131</v>
      </c>
      <c r="F74" s="50">
        <f t="shared" si="45"/>
        <v>94</v>
      </c>
      <c r="G74" s="50">
        <v>34</v>
      </c>
      <c r="H74" s="50">
        <v>4</v>
      </c>
      <c r="I74" s="50">
        <v>56</v>
      </c>
      <c r="J74" s="50"/>
      <c r="K74" s="50"/>
      <c r="L74" s="50"/>
      <c r="M74" s="50">
        <v>1</v>
      </c>
      <c r="N74" s="50">
        <f>11+1</f>
        <v>12</v>
      </c>
      <c r="O74" s="50">
        <f t="shared" si="46"/>
        <v>107</v>
      </c>
      <c r="P74" s="51">
        <f t="shared" si="34"/>
        <v>1221.4352000000001</v>
      </c>
      <c r="Q74" s="51">
        <f t="shared" si="35"/>
        <v>1063.8572000000001</v>
      </c>
      <c r="R74" s="47">
        <f t="shared" si="47"/>
        <v>271976</v>
      </c>
      <c r="S74" s="61">
        <v>107754</v>
      </c>
      <c r="T74" s="62">
        <v>164222</v>
      </c>
      <c r="U74" s="47">
        <f t="shared" si="48"/>
        <v>326.37119999999999</v>
      </c>
      <c r="V74" s="51">
        <f t="shared" si="2"/>
        <v>164.124</v>
      </c>
      <c r="W74" s="47">
        <f t="shared" si="49"/>
        <v>85.5</v>
      </c>
      <c r="X74" s="66">
        <v>78.623999999999995</v>
      </c>
      <c r="Y74" s="47"/>
      <c r="Z74" s="47"/>
      <c r="AA74" s="47"/>
      <c r="AB74" s="51">
        <f t="shared" si="50"/>
        <v>176.37420000000003</v>
      </c>
      <c r="AC74" s="47">
        <f t="shared" si="51"/>
        <v>10.775399999999999</v>
      </c>
      <c r="AD74" s="66">
        <v>23.342400000000001</v>
      </c>
      <c r="AE74" s="47"/>
      <c r="AF74" s="47">
        <f t="shared" si="52"/>
        <v>142.25640000000001</v>
      </c>
      <c r="AG74" s="64">
        <v>118547</v>
      </c>
      <c r="AH74" s="47"/>
      <c r="AI74" s="47">
        <f t="shared" si="53"/>
        <v>145.04</v>
      </c>
      <c r="AJ74" s="53">
        <f t="shared" si="54"/>
        <v>113.5909</v>
      </c>
      <c r="AK74" s="53">
        <f t="shared" si="55"/>
        <v>1135909</v>
      </c>
      <c r="AL74" s="47"/>
      <c r="AM74" s="47">
        <f t="shared" si="36"/>
        <v>47.427500000000002</v>
      </c>
      <c r="AN74" s="47">
        <f t="shared" si="37"/>
        <v>44.642899999999997</v>
      </c>
      <c r="AO74" s="47">
        <f t="shared" si="56"/>
        <v>446429</v>
      </c>
      <c r="AP74" s="47">
        <f t="shared" si="38"/>
        <v>2.7846000000000002</v>
      </c>
      <c r="AQ74" s="47">
        <f t="shared" si="57"/>
        <v>27846.000000000004</v>
      </c>
      <c r="AR74" s="47"/>
      <c r="AS74" s="47">
        <f t="shared" si="58"/>
        <v>5.7362000000000002</v>
      </c>
      <c r="AT74" s="47">
        <f t="shared" si="39"/>
        <v>3.3414999999999999</v>
      </c>
      <c r="AU74" s="47">
        <f t="shared" si="59"/>
        <v>33415</v>
      </c>
      <c r="AV74" s="47">
        <f t="shared" si="40"/>
        <v>2.3946999999999998</v>
      </c>
      <c r="AW74" s="47">
        <f t="shared" si="60"/>
        <v>23947</v>
      </c>
      <c r="AX74" s="47">
        <f t="shared" si="41"/>
        <v>85.193200000000004</v>
      </c>
      <c r="AY74" s="47"/>
      <c r="AZ74" s="47"/>
      <c r="BA74" s="54">
        <v>1E-4</v>
      </c>
      <c r="BB74" s="65" t="s">
        <v>201</v>
      </c>
      <c r="BC74" s="51">
        <f t="shared" si="61"/>
        <v>146.1</v>
      </c>
      <c r="BD74" s="47">
        <f t="shared" si="32"/>
        <v>99.36</v>
      </c>
      <c r="BE74" s="47">
        <f t="shared" si="62"/>
        <v>25.74</v>
      </c>
      <c r="BF74" s="47">
        <v>21450</v>
      </c>
      <c r="BG74" s="56"/>
      <c r="BH74" s="47">
        <v>21</v>
      </c>
      <c r="BI74" s="51">
        <f t="shared" si="42"/>
        <v>11.478</v>
      </c>
      <c r="BJ74" s="51">
        <f t="shared" si="43"/>
        <v>4.3860000000000001</v>
      </c>
      <c r="BK74" s="47"/>
      <c r="BL74" s="47">
        <v>4.3860000000000001</v>
      </c>
      <c r="BM74" s="47"/>
      <c r="BN74" s="47"/>
      <c r="BO74" s="47"/>
      <c r="BP74" s="66">
        <v>7.0919999999999996</v>
      </c>
      <c r="BQ74" s="47"/>
      <c r="BR74" s="47"/>
      <c r="BS74" s="53"/>
      <c r="BT74" s="47"/>
      <c r="BU74" s="47"/>
      <c r="BV74" s="47"/>
      <c r="BW74" s="47"/>
      <c r="BX74" s="47"/>
      <c r="BY74" s="47"/>
      <c r="BZ74" s="47"/>
      <c r="CA74" s="47"/>
      <c r="CB74" s="54">
        <f t="shared" si="44"/>
        <v>1221.4352000000001</v>
      </c>
    </row>
    <row r="75" spans="1:80" ht="14.25" customHeight="1">
      <c r="A75" s="47">
        <v>68</v>
      </c>
      <c r="B75" s="47" t="s">
        <v>129</v>
      </c>
      <c r="C75" s="48">
        <v>311001</v>
      </c>
      <c r="D75" s="60" t="s">
        <v>202</v>
      </c>
      <c r="E75" s="60" t="s">
        <v>131</v>
      </c>
      <c r="F75" s="50">
        <f t="shared" si="45"/>
        <v>116</v>
      </c>
      <c r="G75" s="50">
        <v>40</v>
      </c>
      <c r="H75" s="50">
        <v>8</v>
      </c>
      <c r="I75" s="50">
        <v>68</v>
      </c>
      <c r="J75" s="50"/>
      <c r="K75" s="50"/>
      <c r="L75" s="50"/>
      <c r="M75" s="50"/>
      <c r="N75" s="50">
        <v>47</v>
      </c>
      <c r="O75" s="50">
        <f t="shared" si="46"/>
        <v>163</v>
      </c>
      <c r="P75" s="51">
        <f t="shared" si="34"/>
        <v>1506.9688000000003</v>
      </c>
      <c r="Q75" s="51">
        <f t="shared" si="35"/>
        <v>1298.2448000000002</v>
      </c>
      <c r="R75" s="47">
        <f t="shared" si="47"/>
        <v>349173</v>
      </c>
      <c r="S75" s="61">
        <v>140050</v>
      </c>
      <c r="T75" s="62">
        <v>209123</v>
      </c>
      <c r="U75" s="47">
        <f t="shared" si="48"/>
        <v>419.00760000000002</v>
      </c>
      <c r="V75" s="51">
        <f t="shared" si="2"/>
        <v>206.49599999999998</v>
      </c>
      <c r="W75" s="47">
        <f t="shared" si="49"/>
        <v>108</v>
      </c>
      <c r="X75" s="66">
        <v>98.495999999999995</v>
      </c>
      <c r="Y75" s="47"/>
      <c r="Z75" s="47"/>
      <c r="AA75" s="47"/>
      <c r="AB75" s="51">
        <f t="shared" si="50"/>
        <v>187.72300000000001</v>
      </c>
      <c r="AC75" s="47">
        <f t="shared" si="51"/>
        <v>14.005000000000001</v>
      </c>
      <c r="AD75" s="66">
        <v>28.0944</v>
      </c>
      <c r="AE75" s="47"/>
      <c r="AF75" s="47">
        <f t="shared" si="52"/>
        <v>145.62360000000001</v>
      </c>
      <c r="AG75" s="64">
        <v>121353</v>
      </c>
      <c r="AH75" s="47"/>
      <c r="AI75" s="47">
        <f t="shared" si="53"/>
        <v>176.12</v>
      </c>
      <c r="AJ75" s="53">
        <f t="shared" si="54"/>
        <v>138.041</v>
      </c>
      <c r="AK75" s="53">
        <f t="shared" si="55"/>
        <v>1380410</v>
      </c>
      <c r="AL75" s="47"/>
      <c r="AM75" s="47">
        <f t="shared" si="36"/>
        <v>60.118299999999998</v>
      </c>
      <c r="AN75" s="47">
        <f t="shared" si="37"/>
        <v>56.602699999999999</v>
      </c>
      <c r="AO75" s="47">
        <f t="shared" si="56"/>
        <v>566027</v>
      </c>
      <c r="AP75" s="47">
        <f t="shared" si="38"/>
        <v>3.5156000000000001</v>
      </c>
      <c r="AQ75" s="47">
        <f t="shared" si="57"/>
        <v>35156</v>
      </c>
      <c r="AR75" s="47"/>
      <c r="AS75" s="47">
        <f t="shared" si="58"/>
        <v>7.2081999999999997</v>
      </c>
      <c r="AT75" s="47">
        <f t="shared" si="39"/>
        <v>4.2187999999999999</v>
      </c>
      <c r="AU75" s="47">
        <f t="shared" si="59"/>
        <v>42188</v>
      </c>
      <c r="AV75" s="47">
        <f t="shared" si="40"/>
        <v>2.9895</v>
      </c>
      <c r="AW75" s="47">
        <f t="shared" si="60"/>
        <v>29895</v>
      </c>
      <c r="AX75" s="47">
        <f t="shared" si="41"/>
        <v>103.5307</v>
      </c>
      <c r="AY75" s="47"/>
      <c r="AZ75" s="47"/>
      <c r="BA75" s="54">
        <v>1E-4</v>
      </c>
      <c r="BB75" s="65" t="s">
        <v>202</v>
      </c>
      <c r="BC75" s="51">
        <f t="shared" si="61"/>
        <v>189.68</v>
      </c>
      <c r="BD75" s="47">
        <f t="shared" si="32"/>
        <v>122.88</v>
      </c>
      <c r="BE75" s="47">
        <f t="shared" si="62"/>
        <v>31.8</v>
      </c>
      <c r="BF75" s="47">
        <v>26500</v>
      </c>
      <c r="BG75" s="56"/>
      <c r="BH75" s="47">
        <v>35</v>
      </c>
      <c r="BI75" s="51">
        <f t="shared" si="42"/>
        <v>19.044</v>
      </c>
      <c r="BJ75" s="51">
        <f t="shared" si="43"/>
        <v>0</v>
      </c>
      <c r="BK75" s="47"/>
      <c r="BL75" s="47"/>
      <c r="BM75" s="47"/>
      <c r="BN75" s="47"/>
      <c r="BO75" s="47"/>
      <c r="BP75" s="66">
        <v>19.044</v>
      </c>
      <c r="BQ75" s="47"/>
      <c r="BR75" s="47"/>
      <c r="BS75" s="53"/>
      <c r="BT75" s="47"/>
      <c r="BU75" s="47"/>
      <c r="BV75" s="47"/>
      <c r="BW75" s="47"/>
      <c r="BX75" s="47"/>
      <c r="BY75" s="47"/>
      <c r="BZ75" s="47"/>
      <c r="CA75" s="47"/>
      <c r="CB75" s="54">
        <f t="shared" si="44"/>
        <v>1506.9688000000003</v>
      </c>
    </row>
    <row r="76" spans="1:80" ht="14.25" customHeight="1">
      <c r="A76" s="47">
        <v>69</v>
      </c>
      <c r="B76" s="47" t="s">
        <v>129</v>
      </c>
      <c r="C76" s="48">
        <v>312001</v>
      </c>
      <c r="D76" s="60" t="s">
        <v>203</v>
      </c>
      <c r="E76" s="60" t="s">
        <v>131</v>
      </c>
      <c r="F76" s="50">
        <f t="shared" si="45"/>
        <v>68</v>
      </c>
      <c r="G76" s="50">
        <v>22</v>
      </c>
      <c r="H76" s="50">
        <v>3</v>
      </c>
      <c r="I76" s="50">
        <v>43</v>
      </c>
      <c r="J76" s="50"/>
      <c r="K76" s="50"/>
      <c r="L76" s="50"/>
      <c r="M76" s="50"/>
      <c r="N76" s="50">
        <f>11+1</f>
        <v>12</v>
      </c>
      <c r="O76" s="50">
        <f t="shared" si="46"/>
        <v>80</v>
      </c>
      <c r="P76" s="51">
        <f t="shared" si="34"/>
        <v>850.56349999999998</v>
      </c>
      <c r="Q76" s="51">
        <f t="shared" si="35"/>
        <v>732.52750000000003</v>
      </c>
      <c r="R76" s="47">
        <f t="shared" si="47"/>
        <v>179815</v>
      </c>
      <c r="S76" s="61">
        <v>66291</v>
      </c>
      <c r="T76" s="62">
        <v>113524</v>
      </c>
      <c r="U76" s="47">
        <f t="shared" si="48"/>
        <v>215.77799999999999</v>
      </c>
      <c r="V76" s="51">
        <f t="shared" si="2"/>
        <v>106.41</v>
      </c>
      <c r="W76" s="47">
        <f t="shared" si="49"/>
        <v>56.25</v>
      </c>
      <c r="X76" s="66">
        <v>50.16</v>
      </c>
      <c r="Y76" s="47"/>
      <c r="Z76" s="47"/>
      <c r="AA76" s="47"/>
      <c r="AB76" s="51">
        <f t="shared" si="50"/>
        <v>124.30710000000001</v>
      </c>
      <c r="AC76" s="47">
        <f t="shared" si="51"/>
        <v>6.6291000000000002</v>
      </c>
      <c r="AD76" s="66">
        <v>15.026400000000001</v>
      </c>
      <c r="AE76" s="47"/>
      <c r="AF76" s="47">
        <f t="shared" si="52"/>
        <v>102.6516</v>
      </c>
      <c r="AG76" s="64">
        <v>85543</v>
      </c>
      <c r="AH76" s="47"/>
      <c r="AI76" s="47">
        <f t="shared" si="53"/>
        <v>111.37</v>
      </c>
      <c r="AJ76" s="53">
        <f t="shared" si="54"/>
        <v>78.828599999999994</v>
      </c>
      <c r="AK76" s="53">
        <f t="shared" si="55"/>
        <v>788286</v>
      </c>
      <c r="AL76" s="47"/>
      <c r="AM76" s="47">
        <f t="shared" si="36"/>
        <v>32.678800000000003</v>
      </c>
      <c r="AN76" s="47">
        <f t="shared" si="37"/>
        <v>30.761800000000001</v>
      </c>
      <c r="AO76" s="47">
        <f t="shared" si="56"/>
        <v>307618</v>
      </c>
      <c r="AP76" s="47">
        <f t="shared" si="38"/>
        <v>1.917</v>
      </c>
      <c r="AQ76" s="47">
        <f t="shared" si="57"/>
        <v>19170</v>
      </c>
      <c r="AR76" s="47"/>
      <c r="AS76" s="47">
        <f t="shared" si="58"/>
        <v>4.0335999999999999</v>
      </c>
      <c r="AT76" s="47">
        <f t="shared" si="39"/>
        <v>2.3003999999999998</v>
      </c>
      <c r="AU76" s="47">
        <f t="shared" si="59"/>
        <v>23003.999999999996</v>
      </c>
      <c r="AV76" s="47">
        <f t="shared" si="40"/>
        <v>1.7332000000000001</v>
      </c>
      <c r="AW76" s="47">
        <f t="shared" si="60"/>
        <v>17332</v>
      </c>
      <c r="AX76" s="47">
        <f t="shared" si="41"/>
        <v>59.121400000000001</v>
      </c>
      <c r="AY76" s="47"/>
      <c r="AZ76" s="47"/>
      <c r="BA76" s="54">
        <v>1E-4</v>
      </c>
      <c r="BB76" s="65" t="s">
        <v>203</v>
      </c>
      <c r="BC76" s="51">
        <f t="shared" si="61"/>
        <v>116.38</v>
      </c>
      <c r="BD76" s="47">
        <f t="shared" si="32"/>
        <v>71.28</v>
      </c>
      <c r="BE76" s="47">
        <f t="shared" si="62"/>
        <v>17.100000000000001</v>
      </c>
      <c r="BF76" s="47">
        <v>14250</v>
      </c>
      <c r="BG76" s="56"/>
      <c r="BH76" s="47">
        <v>28</v>
      </c>
      <c r="BI76" s="51">
        <f t="shared" si="42"/>
        <v>1.6559999999999999</v>
      </c>
      <c r="BJ76" s="51">
        <f t="shared" si="43"/>
        <v>0</v>
      </c>
      <c r="BK76" s="47"/>
      <c r="BL76" s="47"/>
      <c r="BM76" s="47"/>
      <c r="BN76" s="47"/>
      <c r="BO76" s="47"/>
      <c r="BP76" s="66">
        <v>1.6559999999999999</v>
      </c>
      <c r="BQ76" s="47"/>
      <c r="BR76" s="47"/>
      <c r="BS76" s="53"/>
      <c r="BT76" s="47"/>
      <c r="BU76" s="47"/>
      <c r="BV76" s="47"/>
      <c r="BW76" s="47"/>
      <c r="BX76" s="47"/>
      <c r="BY76" s="47"/>
      <c r="BZ76" s="47"/>
      <c r="CA76" s="47"/>
      <c r="CB76" s="54">
        <f t="shared" si="44"/>
        <v>850.56349999999998</v>
      </c>
    </row>
    <row r="77" spans="1:80" ht="14.25" customHeight="1">
      <c r="A77" s="47">
        <v>70</v>
      </c>
      <c r="B77" s="47" t="s">
        <v>129</v>
      </c>
      <c r="C77" s="48">
        <v>313001</v>
      </c>
      <c r="D77" s="60" t="s">
        <v>204</v>
      </c>
      <c r="E77" s="60" t="s">
        <v>131</v>
      </c>
      <c r="F77" s="50">
        <f t="shared" si="45"/>
        <v>101</v>
      </c>
      <c r="G77" s="50">
        <v>38</v>
      </c>
      <c r="H77" s="50">
        <v>5</v>
      </c>
      <c r="I77" s="50">
        <f>53+5</f>
        <v>58</v>
      </c>
      <c r="J77" s="50"/>
      <c r="K77" s="50"/>
      <c r="L77" s="50"/>
      <c r="M77" s="50"/>
      <c r="N77" s="50">
        <f>27+1</f>
        <v>28</v>
      </c>
      <c r="O77" s="50">
        <f t="shared" si="46"/>
        <v>129</v>
      </c>
      <c r="P77" s="51">
        <f t="shared" si="34"/>
        <v>1316.4818000000002</v>
      </c>
      <c r="Q77" s="51">
        <f t="shared" si="35"/>
        <v>1137.9978000000001</v>
      </c>
      <c r="R77" s="47">
        <f t="shared" si="47"/>
        <v>300577</v>
      </c>
      <c r="S77" s="61">
        <v>122130</v>
      </c>
      <c r="T77" s="62">
        <v>178447</v>
      </c>
      <c r="U77" s="47">
        <f t="shared" si="48"/>
        <v>360.69240000000002</v>
      </c>
      <c r="V77" s="51">
        <f t="shared" si="2"/>
        <v>172.63800000000001</v>
      </c>
      <c r="W77" s="47">
        <f t="shared" si="49"/>
        <v>96.75</v>
      </c>
      <c r="X77" s="66">
        <v>75.888000000000005</v>
      </c>
      <c r="Y77" s="47"/>
      <c r="Z77" s="47"/>
      <c r="AA77" s="47"/>
      <c r="AB77" s="51">
        <f t="shared" si="50"/>
        <v>181.90979999999999</v>
      </c>
      <c r="AC77" s="47">
        <f t="shared" si="51"/>
        <v>12.212999999999999</v>
      </c>
      <c r="AD77" s="66">
        <v>23.572800000000001</v>
      </c>
      <c r="AE77" s="47"/>
      <c r="AF77" s="47">
        <f t="shared" si="52"/>
        <v>146.124</v>
      </c>
      <c r="AG77" s="64">
        <v>121770</v>
      </c>
      <c r="AH77" s="47"/>
      <c r="AI77" s="47">
        <f t="shared" si="53"/>
        <v>150.22</v>
      </c>
      <c r="AJ77" s="53">
        <f t="shared" si="54"/>
        <v>122.5599</v>
      </c>
      <c r="AK77" s="53">
        <f t="shared" si="55"/>
        <v>1225599</v>
      </c>
      <c r="AL77" s="47"/>
      <c r="AM77" s="47">
        <f t="shared" si="36"/>
        <v>51.8613</v>
      </c>
      <c r="AN77" s="47">
        <f t="shared" si="37"/>
        <v>48.823</v>
      </c>
      <c r="AO77" s="47">
        <f t="shared" si="56"/>
        <v>488230</v>
      </c>
      <c r="AP77" s="47">
        <f t="shared" si="38"/>
        <v>3.0383</v>
      </c>
      <c r="AQ77" s="47">
        <f t="shared" si="57"/>
        <v>30383</v>
      </c>
      <c r="AR77" s="47"/>
      <c r="AS77" s="47">
        <f t="shared" si="58"/>
        <v>6.1965000000000003</v>
      </c>
      <c r="AT77" s="47">
        <f t="shared" si="39"/>
        <v>3.6459999999999999</v>
      </c>
      <c r="AU77" s="47">
        <f t="shared" si="59"/>
        <v>36460</v>
      </c>
      <c r="AV77" s="47">
        <f t="shared" si="40"/>
        <v>2.5505</v>
      </c>
      <c r="AW77" s="47">
        <f t="shared" si="60"/>
        <v>25505</v>
      </c>
      <c r="AX77" s="47">
        <f t="shared" si="41"/>
        <v>91.919899999999998</v>
      </c>
      <c r="AY77" s="47"/>
      <c r="AZ77" s="47"/>
      <c r="BA77" s="54">
        <v>1E-4</v>
      </c>
      <c r="BB77" s="65" t="s">
        <v>204</v>
      </c>
      <c r="BC77" s="51">
        <f t="shared" si="61"/>
        <v>171.24799999999999</v>
      </c>
      <c r="BD77" s="47">
        <f t="shared" si="32"/>
        <v>107.28</v>
      </c>
      <c r="BE77" s="47">
        <f t="shared" si="62"/>
        <v>28.968</v>
      </c>
      <c r="BF77" s="47">
        <v>24140</v>
      </c>
      <c r="BG77" s="56"/>
      <c r="BH77" s="47">
        <v>35</v>
      </c>
      <c r="BI77" s="51">
        <f t="shared" si="42"/>
        <v>7.2359999999999998</v>
      </c>
      <c r="BJ77" s="51">
        <f t="shared" si="43"/>
        <v>0</v>
      </c>
      <c r="BK77" s="47"/>
      <c r="BL77" s="47"/>
      <c r="BM77" s="47"/>
      <c r="BN77" s="47"/>
      <c r="BO77" s="47"/>
      <c r="BP77" s="66">
        <v>7.2359999999999998</v>
      </c>
      <c r="BQ77" s="47"/>
      <c r="BR77" s="47"/>
      <c r="BS77" s="53"/>
      <c r="BT77" s="47"/>
      <c r="BU77" s="47"/>
      <c r="BV77" s="47"/>
      <c r="BW77" s="47"/>
      <c r="BX77" s="47"/>
      <c r="BY77" s="47"/>
      <c r="BZ77" s="47"/>
      <c r="CA77" s="47"/>
      <c r="CB77" s="54">
        <f t="shared" si="44"/>
        <v>1316.4818000000002</v>
      </c>
    </row>
    <row r="78" spans="1:80" ht="14.25" customHeight="1">
      <c r="A78" s="47">
        <v>71</v>
      </c>
      <c r="B78" s="47" t="s">
        <v>129</v>
      </c>
      <c r="C78" s="48">
        <v>314001</v>
      </c>
      <c r="D78" s="60" t="s">
        <v>205</v>
      </c>
      <c r="E78" s="60" t="s">
        <v>131</v>
      </c>
      <c r="F78" s="50">
        <f t="shared" si="45"/>
        <v>105</v>
      </c>
      <c r="G78" s="50">
        <v>41</v>
      </c>
      <c r="H78" s="50">
        <v>4</v>
      </c>
      <c r="I78" s="50">
        <f>23+5</f>
        <v>28</v>
      </c>
      <c r="J78" s="50">
        <v>32</v>
      </c>
      <c r="K78" s="50"/>
      <c r="L78" s="50"/>
      <c r="M78" s="50"/>
      <c r="N78" s="50">
        <f>28+1</f>
        <v>29</v>
      </c>
      <c r="O78" s="50">
        <f t="shared" si="46"/>
        <v>134</v>
      </c>
      <c r="P78" s="51">
        <f t="shared" si="34"/>
        <v>1397.9560399999998</v>
      </c>
      <c r="Q78" s="51">
        <f t="shared" si="35"/>
        <v>1211.6600399999998</v>
      </c>
      <c r="R78" s="47">
        <f t="shared" si="47"/>
        <v>325661.2</v>
      </c>
      <c r="S78" s="61">
        <v>135137</v>
      </c>
      <c r="T78" s="62">
        <v>190524.2</v>
      </c>
      <c r="U78" s="47">
        <f t="shared" si="48"/>
        <v>390.79343999999998</v>
      </c>
      <c r="V78" s="51">
        <f t="shared" si="2"/>
        <v>185.346</v>
      </c>
      <c r="W78" s="47">
        <f t="shared" si="49"/>
        <v>101.25</v>
      </c>
      <c r="X78" s="66">
        <v>84.096000000000004</v>
      </c>
      <c r="Y78" s="47"/>
      <c r="Z78" s="47"/>
      <c r="AA78" s="47"/>
      <c r="AB78" s="51">
        <f t="shared" si="50"/>
        <v>190.82089999999999</v>
      </c>
      <c r="AC78" s="47">
        <f t="shared" si="51"/>
        <v>13.5137</v>
      </c>
      <c r="AD78" s="66">
        <v>25.847999999999999</v>
      </c>
      <c r="AE78" s="47"/>
      <c r="AF78" s="47">
        <f t="shared" si="52"/>
        <v>151.45920000000001</v>
      </c>
      <c r="AG78" s="64">
        <v>126216</v>
      </c>
      <c r="AH78" s="47"/>
      <c r="AI78" s="47">
        <f t="shared" si="53"/>
        <v>155.4</v>
      </c>
      <c r="AJ78" s="53">
        <f t="shared" si="54"/>
        <v>129.98660000000001</v>
      </c>
      <c r="AK78" s="53">
        <f t="shared" si="55"/>
        <v>1299866</v>
      </c>
      <c r="AL78" s="47"/>
      <c r="AM78" s="47">
        <f t="shared" si="36"/>
        <v>55.2502</v>
      </c>
      <c r="AN78" s="47">
        <f t="shared" si="37"/>
        <v>52.012999999999998</v>
      </c>
      <c r="AO78" s="47">
        <f t="shared" si="56"/>
        <v>520130</v>
      </c>
      <c r="AP78" s="47">
        <f t="shared" si="38"/>
        <v>3.2372000000000001</v>
      </c>
      <c r="AQ78" s="47">
        <f t="shared" si="57"/>
        <v>32372</v>
      </c>
      <c r="AR78" s="47"/>
      <c r="AS78" s="47">
        <f t="shared" si="58"/>
        <v>6.5728999999999997</v>
      </c>
      <c r="AT78" s="47">
        <f t="shared" si="39"/>
        <v>3.8847</v>
      </c>
      <c r="AU78" s="47">
        <f t="shared" si="59"/>
        <v>38847</v>
      </c>
      <c r="AV78" s="47">
        <f t="shared" si="40"/>
        <v>2.6882000000000001</v>
      </c>
      <c r="AW78" s="47">
        <f t="shared" si="60"/>
        <v>26882</v>
      </c>
      <c r="AX78" s="47">
        <f t="shared" si="41"/>
        <v>97.49</v>
      </c>
      <c r="AY78" s="47"/>
      <c r="AZ78" s="47"/>
      <c r="BA78" s="54">
        <v>1E-4</v>
      </c>
      <c r="BB78" s="65" t="s">
        <v>205</v>
      </c>
      <c r="BC78" s="51">
        <f t="shared" si="61"/>
        <v>178.08799999999999</v>
      </c>
      <c r="BD78" s="47">
        <f t="shared" si="32"/>
        <v>111.6</v>
      </c>
      <c r="BE78" s="47">
        <f t="shared" si="62"/>
        <v>31.488</v>
      </c>
      <c r="BF78" s="47">
        <v>26240</v>
      </c>
      <c r="BG78" s="56"/>
      <c r="BH78" s="47">
        <v>35</v>
      </c>
      <c r="BI78" s="51">
        <f t="shared" si="42"/>
        <v>8.2080000000000002</v>
      </c>
      <c r="BJ78" s="51">
        <f t="shared" si="43"/>
        <v>0</v>
      </c>
      <c r="BK78" s="47"/>
      <c r="BL78" s="47"/>
      <c r="BM78" s="47"/>
      <c r="BN78" s="47"/>
      <c r="BO78" s="47"/>
      <c r="BP78" s="66">
        <v>8.2080000000000002</v>
      </c>
      <c r="BQ78" s="47"/>
      <c r="BR78" s="47"/>
      <c r="BS78" s="53"/>
      <c r="BT78" s="47"/>
      <c r="BU78" s="47"/>
      <c r="BV78" s="47"/>
      <c r="BW78" s="47"/>
      <c r="BX78" s="47"/>
      <c r="BY78" s="47"/>
      <c r="BZ78" s="47"/>
      <c r="CA78" s="47"/>
      <c r="CB78" s="54">
        <f t="shared" si="44"/>
        <v>1397.9560399999998</v>
      </c>
    </row>
    <row r="79" spans="1:80" ht="14.25" customHeight="1">
      <c r="A79" s="47">
        <v>72</v>
      </c>
      <c r="B79" s="47" t="s">
        <v>129</v>
      </c>
      <c r="C79" s="48">
        <v>315001</v>
      </c>
      <c r="D79" s="60" t="s">
        <v>206</v>
      </c>
      <c r="E79" s="60" t="s">
        <v>131</v>
      </c>
      <c r="F79" s="50">
        <f t="shared" si="45"/>
        <v>121</v>
      </c>
      <c r="G79" s="50">
        <v>43</v>
      </c>
      <c r="H79" s="50">
        <v>5</v>
      </c>
      <c r="I79" s="50">
        <v>73</v>
      </c>
      <c r="J79" s="50"/>
      <c r="K79" s="50"/>
      <c r="L79" s="50"/>
      <c r="M79" s="50"/>
      <c r="N79" s="50">
        <v>39</v>
      </c>
      <c r="O79" s="50">
        <f t="shared" si="46"/>
        <v>160</v>
      </c>
      <c r="P79" s="51">
        <f t="shared" si="34"/>
        <v>1590.1004999999998</v>
      </c>
      <c r="Q79" s="51">
        <f t="shared" si="35"/>
        <v>1385.9784999999999</v>
      </c>
      <c r="R79" s="47">
        <f t="shared" si="47"/>
        <v>367178</v>
      </c>
      <c r="S79" s="61">
        <v>134740</v>
      </c>
      <c r="T79" s="62">
        <v>232438</v>
      </c>
      <c r="U79" s="47">
        <f t="shared" si="48"/>
        <v>440.61360000000002</v>
      </c>
      <c r="V79" s="51">
        <f t="shared" si="2"/>
        <v>203.42400000000001</v>
      </c>
      <c r="W79" s="47">
        <f t="shared" si="49"/>
        <v>108</v>
      </c>
      <c r="X79" s="66">
        <v>95.424000000000007</v>
      </c>
      <c r="Y79" s="47"/>
      <c r="Z79" s="47"/>
      <c r="AA79" s="47"/>
      <c r="AB79" s="51">
        <f t="shared" si="50"/>
        <v>221.7928</v>
      </c>
      <c r="AC79" s="47">
        <f t="shared" si="51"/>
        <v>13.474</v>
      </c>
      <c r="AD79" s="66">
        <v>29.546399999999998</v>
      </c>
      <c r="AE79" s="47"/>
      <c r="AF79" s="47">
        <f t="shared" si="52"/>
        <v>178.7724</v>
      </c>
      <c r="AG79" s="64">
        <v>148977</v>
      </c>
      <c r="AH79" s="47"/>
      <c r="AI79" s="47">
        <f t="shared" si="53"/>
        <v>189.07</v>
      </c>
      <c r="AJ79" s="53">
        <f t="shared" si="54"/>
        <v>148.78880000000001</v>
      </c>
      <c r="AK79" s="53">
        <f t="shared" si="55"/>
        <v>1487888</v>
      </c>
      <c r="AL79" s="47"/>
      <c r="AM79" s="47">
        <f t="shared" si="36"/>
        <v>62.995600000000003</v>
      </c>
      <c r="AN79" s="47">
        <f t="shared" si="37"/>
        <v>59.307200000000002</v>
      </c>
      <c r="AO79" s="47">
        <f t="shared" si="56"/>
        <v>593072</v>
      </c>
      <c r="AP79" s="47">
        <f t="shared" si="38"/>
        <v>3.6884000000000001</v>
      </c>
      <c r="AQ79" s="47">
        <f t="shared" si="57"/>
        <v>36884</v>
      </c>
      <c r="AR79" s="47"/>
      <c r="AS79" s="47">
        <f t="shared" si="58"/>
        <v>7.7020999999999997</v>
      </c>
      <c r="AT79" s="47">
        <f t="shared" si="39"/>
        <v>4.4260999999999999</v>
      </c>
      <c r="AU79" s="47">
        <f t="shared" si="59"/>
        <v>44261</v>
      </c>
      <c r="AV79" s="47">
        <f t="shared" si="40"/>
        <v>3.2759999999999998</v>
      </c>
      <c r="AW79" s="47">
        <f t="shared" si="60"/>
        <v>32759.999999999996</v>
      </c>
      <c r="AX79" s="47">
        <f t="shared" si="41"/>
        <v>111.5916</v>
      </c>
      <c r="AY79" s="47"/>
      <c r="AZ79" s="47"/>
      <c r="BA79" s="54">
        <v>1E-4</v>
      </c>
      <c r="BB79" s="65" t="s">
        <v>206</v>
      </c>
      <c r="BC79" s="51">
        <f t="shared" si="61"/>
        <v>195.608</v>
      </c>
      <c r="BD79" s="47">
        <f t="shared" si="32"/>
        <v>127.67999999999999</v>
      </c>
      <c r="BE79" s="47">
        <f t="shared" si="62"/>
        <v>32.927999999999997</v>
      </c>
      <c r="BF79" s="47">
        <v>27440</v>
      </c>
      <c r="BG79" s="56"/>
      <c r="BH79" s="47">
        <v>35</v>
      </c>
      <c r="BI79" s="51">
        <f t="shared" si="42"/>
        <v>8.5139999999999993</v>
      </c>
      <c r="BJ79" s="51">
        <f t="shared" si="43"/>
        <v>0</v>
      </c>
      <c r="BK79" s="47"/>
      <c r="BL79" s="47"/>
      <c r="BM79" s="47"/>
      <c r="BN79" s="47"/>
      <c r="BO79" s="47"/>
      <c r="BP79" s="66">
        <v>8.5139999999999993</v>
      </c>
      <c r="BQ79" s="47"/>
      <c r="BR79" s="47"/>
      <c r="BS79" s="53"/>
      <c r="BT79" s="47"/>
      <c r="BU79" s="47"/>
      <c r="BV79" s="47"/>
      <c r="BW79" s="47"/>
      <c r="BX79" s="47"/>
      <c r="BY79" s="47"/>
      <c r="BZ79" s="47"/>
      <c r="CA79" s="47"/>
      <c r="CB79" s="54">
        <f t="shared" si="44"/>
        <v>1590.1004999999998</v>
      </c>
    </row>
    <row r="80" spans="1:80" ht="14.25" customHeight="1">
      <c r="A80" s="47">
        <v>73</v>
      </c>
      <c r="B80" s="47" t="s">
        <v>129</v>
      </c>
      <c r="C80" s="48">
        <v>401001</v>
      </c>
      <c r="D80" s="49" t="s">
        <v>207</v>
      </c>
      <c r="E80" s="60" t="s">
        <v>131</v>
      </c>
      <c r="F80" s="50">
        <f t="shared" si="45"/>
        <v>37</v>
      </c>
      <c r="G80" s="50">
        <v>28</v>
      </c>
      <c r="H80" s="50"/>
      <c r="I80" s="50">
        <v>8</v>
      </c>
      <c r="J80" s="50">
        <v>1</v>
      </c>
      <c r="K80" s="50"/>
      <c r="L80" s="50"/>
      <c r="M80" s="50"/>
      <c r="N80" s="50">
        <v>29</v>
      </c>
      <c r="O80" s="50">
        <f t="shared" si="46"/>
        <v>66</v>
      </c>
      <c r="P80" s="51">
        <f t="shared" si="34"/>
        <v>1022.2045000000001</v>
      </c>
      <c r="Q80" s="51">
        <f t="shared" si="35"/>
        <v>448.97829999999999</v>
      </c>
      <c r="R80" s="47">
        <f t="shared" si="47"/>
        <v>142029</v>
      </c>
      <c r="S80" s="58">
        <v>115972</v>
      </c>
      <c r="T80" s="51">
        <v>26057</v>
      </c>
      <c r="U80" s="47">
        <f t="shared" si="48"/>
        <v>170.4348</v>
      </c>
      <c r="V80" s="51">
        <f t="shared" si="2"/>
        <v>63.388800000000003</v>
      </c>
      <c r="W80" s="47">
        <f t="shared" si="49"/>
        <v>63</v>
      </c>
      <c r="X80" s="47"/>
      <c r="Y80" s="47"/>
      <c r="Z80" s="47"/>
      <c r="AA80" s="47">
        <v>0.38879999999999998</v>
      </c>
      <c r="AB80" s="51">
        <f t="shared" si="50"/>
        <v>74.994399999999999</v>
      </c>
      <c r="AC80" s="47">
        <f t="shared" si="51"/>
        <v>11.597200000000001</v>
      </c>
      <c r="AD80" s="47"/>
      <c r="AE80" s="47"/>
      <c r="AF80" s="47">
        <f t="shared" si="52"/>
        <v>63.397199999999998</v>
      </c>
      <c r="AG80" s="47">
        <v>52831</v>
      </c>
      <c r="AH80" s="47"/>
      <c r="AI80" s="47">
        <f t="shared" si="53"/>
        <v>23.31</v>
      </c>
      <c r="AJ80" s="53">
        <f t="shared" si="54"/>
        <v>53.078299999999999</v>
      </c>
      <c r="AK80" s="53">
        <f t="shared" si="55"/>
        <v>530783</v>
      </c>
      <c r="AL80" s="47"/>
      <c r="AM80" s="47">
        <f t="shared" si="36"/>
        <v>22.040800000000001</v>
      </c>
      <c r="AN80" s="47">
        <f t="shared" si="37"/>
        <v>20.757100000000001</v>
      </c>
      <c r="AO80" s="47">
        <f t="shared" si="56"/>
        <v>207571</v>
      </c>
      <c r="AP80" s="47">
        <f t="shared" si="38"/>
        <v>1.2837000000000001</v>
      </c>
      <c r="AQ80" s="47">
        <f t="shared" si="57"/>
        <v>12837</v>
      </c>
      <c r="AR80" s="47"/>
      <c r="AS80" s="47">
        <f t="shared" si="58"/>
        <v>1.9225000000000001</v>
      </c>
      <c r="AT80" s="47">
        <f t="shared" si="39"/>
        <v>1.5405</v>
      </c>
      <c r="AU80" s="47">
        <f t="shared" si="59"/>
        <v>15405</v>
      </c>
      <c r="AV80" s="47">
        <f t="shared" si="40"/>
        <v>0.38200000000000001</v>
      </c>
      <c r="AW80" s="47">
        <f t="shared" si="60"/>
        <v>3820</v>
      </c>
      <c r="AX80" s="47">
        <f t="shared" si="41"/>
        <v>39.808700000000002</v>
      </c>
      <c r="AY80" s="47"/>
      <c r="AZ80" s="47"/>
      <c r="BA80" s="54">
        <v>1E-4</v>
      </c>
      <c r="BB80" s="55" t="s">
        <v>207</v>
      </c>
      <c r="BC80" s="51">
        <f t="shared" si="61"/>
        <v>344.404</v>
      </c>
      <c r="BD80" s="47">
        <f t="shared" si="32"/>
        <v>42.24</v>
      </c>
      <c r="BE80" s="47">
        <f t="shared" si="62"/>
        <v>22.164000000000001</v>
      </c>
      <c r="BF80" s="47">
        <v>18470</v>
      </c>
      <c r="BG80" s="56">
        <v>280</v>
      </c>
      <c r="BH80" s="47"/>
      <c r="BI80" s="51">
        <f t="shared" si="42"/>
        <v>228.82220000000001</v>
      </c>
      <c r="BJ80" s="51">
        <f t="shared" si="43"/>
        <v>0</v>
      </c>
      <c r="BK80" s="47"/>
      <c r="BL80" s="47"/>
      <c r="BM80" s="47"/>
      <c r="BN80" s="47"/>
      <c r="BO80" s="47"/>
      <c r="BP80" s="68">
        <v>3.3119999999999998</v>
      </c>
      <c r="BQ80" s="47"/>
      <c r="BR80" s="47"/>
      <c r="BS80" s="53"/>
      <c r="BT80" s="47"/>
      <c r="BU80" s="47"/>
      <c r="BV80" s="47"/>
      <c r="BW80" s="68">
        <v>225.5102</v>
      </c>
      <c r="BX80" s="47"/>
      <c r="BY80" s="47"/>
      <c r="BZ80" s="47"/>
      <c r="CA80" s="47"/>
      <c r="CB80" s="54">
        <f t="shared" si="44"/>
        <v>1022.2045000000001</v>
      </c>
    </row>
    <row r="81" spans="1:80" ht="14.25" customHeight="1">
      <c r="A81" s="47">
        <v>74</v>
      </c>
      <c r="B81" s="47" t="s">
        <v>129</v>
      </c>
      <c r="C81" s="48">
        <v>411001</v>
      </c>
      <c r="D81" s="49" t="s">
        <v>208</v>
      </c>
      <c r="E81" s="49" t="s">
        <v>141</v>
      </c>
      <c r="F81" s="50">
        <f t="shared" si="45"/>
        <v>10</v>
      </c>
      <c r="G81" s="50">
        <v>10</v>
      </c>
      <c r="H81" s="50"/>
      <c r="I81" s="50"/>
      <c r="J81" s="50"/>
      <c r="K81" s="50"/>
      <c r="L81" s="50"/>
      <c r="M81" s="50"/>
      <c r="N81" s="50">
        <v>1</v>
      </c>
      <c r="O81" s="50">
        <f t="shared" si="46"/>
        <v>11</v>
      </c>
      <c r="P81" s="51">
        <f t="shared" si="34"/>
        <v>196.54480000000001</v>
      </c>
      <c r="Q81" s="51">
        <f t="shared" si="35"/>
        <v>105.9448</v>
      </c>
      <c r="R81" s="47">
        <f t="shared" si="47"/>
        <v>31067</v>
      </c>
      <c r="S81" s="58">
        <v>31067</v>
      </c>
      <c r="T81" s="51"/>
      <c r="U81" s="47">
        <f t="shared" si="48"/>
        <v>37.2804</v>
      </c>
      <c r="V81" s="51">
        <f t="shared" si="2"/>
        <v>22.5</v>
      </c>
      <c r="W81" s="47">
        <f t="shared" si="49"/>
        <v>22.5</v>
      </c>
      <c r="X81" s="47"/>
      <c r="Y81" s="47"/>
      <c r="Z81" s="47"/>
      <c r="AA81" s="47"/>
      <c r="AB81" s="51">
        <f t="shared" si="50"/>
        <v>18.7331</v>
      </c>
      <c r="AC81" s="47">
        <f t="shared" si="51"/>
        <v>3.1067</v>
      </c>
      <c r="AD81" s="47"/>
      <c r="AE81" s="47"/>
      <c r="AF81" s="47">
        <f t="shared" si="52"/>
        <v>15.6264</v>
      </c>
      <c r="AG81" s="47">
        <v>13022</v>
      </c>
      <c r="AH81" s="47"/>
      <c r="AI81" s="47">
        <f t="shared" si="53"/>
        <v>0</v>
      </c>
      <c r="AJ81" s="53">
        <f t="shared" si="54"/>
        <v>12.562200000000001</v>
      </c>
      <c r="AK81" s="53">
        <f t="shared" si="55"/>
        <v>125622</v>
      </c>
      <c r="AL81" s="47"/>
      <c r="AM81" s="47">
        <f t="shared" si="36"/>
        <v>5.0888</v>
      </c>
      <c r="AN81" s="47">
        <f t="shared" si="37"/>
        <v>4.7899000000000003</v>
      </c>
      <c r="AO81" s="47">
        <f t="shared" si="56"/>
        <v>47899</v>
      </c>
      <c r="AP81" s="47">
        <f t="shared" si="38"/>
        <v>0.2989</v>
      </c>
      <c r="AQ81" s="47">
        <f t="shared" si="57"/>
        <v>2989</v>
      </c>
      <c r="AR81" s="47"/>
      <c r="AS81" s="47">
        <f t="shared" si="58"/>
        <v>0.35870000000000002</v>
      </c>
      <c r="AT81" s="47">
        <f t="shared" si="39"/>
        <v>0.35870000000000002</v>
      </c>
      <c r="AU81" s="47">
        <f t="shared" si="59"/>
        <v>3587</v>
      </c>
      <c r="AV81" s="47">
        <f t="shared" si="40"/>
        <v>0</v>
      </c>
      <c r="AW81" s="47">
        <f t="shared" si="60"/>
        <v>0</v>
      </c>
      <c r="AX81" s="47">
        <f t="shared" si="41"/>
        <v>9.4215999999999998</v>
      </c>
      <c r="AY81" s="47"/>
      <c r="AZ81" s="47"/>
      <c r="BA81" s="54">
        <v>1E-4</v>
      </c>
      <c r="BB81" s="55" t="s">
        <v>208</v>
      </c>
      <c r="BC81" s="51">
        <f t="shared" si="61"/>
        <v>90.6</v>
      </c>
      <c r="BD81" s="47">
        <f t="shared" si="32"/>
        <v>12</v>
      </c>
      <c r="BE81" s="47">
        <f t="shared" si="62"/>
        <v>6.6</v>
      </c>
      <c r="BF81" s="47">
        <v>5500</v>
      </c>
      <c r="BG81" s="56">
        <v>72</v>
      </c>
      <c r="BH81" s="47"/>
      <c r="BI81" s="51">
        <f t="shared" si="42"/>
        <v>0</v>
      </c>
      <c r="BJ81" s="51">
        <f t="shared" si="43"/>
        <v>0</v>
      </c>
      <c r="BK81" s="47"/>
      <c r="BL81" s="47"/>
      <c r="BM81" s="47"/>
      <c r="BN81" s="47"/>
      <c r="BO81" s="47"/>
      <c r="BP81" s="47"/>
      <c r="BQ81" s="47"/>
      <c r="BR81" s="47"/>
      <c r="BS81" s="53"/>
      <c r="BT81" s="47"/>
      <c r="BU81" s="47"/>
      <c r="BV81" s="47"/>
      <c r="BW81" s="47"/>
      <c r="BX81" s="47"/>
      <c r="BY81" s="47"/>
      <c r="BZ81" s="47"/>
      <c r="CA81" s="47"/>
      <c r="CB81" s="54">
        <f t="shared" si="44"/>
        <v>196.54480000000001</v>
      </c>
    </row>
    <row r="82" spans="1:80" ht="14.25" customHeight="1">
      <c r="A82" s="47">
        <v>75</v>
      </c>
      <c r="B82" s="47" t="s">
        <v>129</v>
      </c>
      <c r="C82" s="48">
        <v>413001</v>
      </c>
      <c r="D82" s="49" t="s">
        <v>209</v>
      </c>
      <c r="E82" s="49" t="s">
        <v>141</v>
      </c>
      <c r="F82" s="50">
        <f t="shared" si="45"/>
        <v>17</v>
      </c>
      <c r="G82" s="50">
        <v>3</v>
      </c>
      <c r="H82" s="50"/>
      <c r="I82" s="50">
        <v>14</v>
      </c>
      <c r="J82" s="50"/>
      <c r="K82" s="50"/>
      <c r="L82" s="50"/>
      <c r="M82" s="50"/>
      <c r="N82" s="50">
        <v>6</v>
      </c>
      <c r="O82" s="50">
        <f t="shared" si="46"/>
        <v>23</v>
      </c>
      <c r="P82" s="51">
        <f t="shared" si="34"/>
        <v>330.22190000000001</v>
      </c>
      <c r="Q82" s="51">
        <f t="shared" si="35"/>
        <v>178.68190000000001</v>
      </c>
      <c r="R82" s="47">
        <f t="shared" si="47"/>
        <v>51859</v>
      </c>
      <c r="S82" s="58">
        <v>10448</v>
      </c>
      <c r="T82" s="51">
        <v>41411</v>
      </c>
      <c r="U82" s="47">
        <f t="shared" si="48"/>
        <v>62.230800000000002</v>
      </c>
      <c r="V82" s="51">
        <f t="shared" si="2"/>
        <v>6.75</v>
      </c>
      <c r="W82" s="47">
        <f t="shared" si="49"/>
        <v>6.75</v>
      </c>
      <c r="X82" s="47"/>
      <c r="Y82" s="47"/>
      <c r="Z82" s="47"/>
      <c r="AA82" s="47"/>
      <c r="AB82" s="51">
        <f t="shared" si="50"/>
        <v>26.367199999999997</v>
      </c>
      <c r="AC82" s="47">
        <f t="shared" si="51"/>
        <v>1.0448</v>
      </c>
      <c r="AD82" s="47"/>
      <c r="AE82" s="47"/>
      <c r="AF82" s="47">
        <f t="shared" si="52"/>
        <v>25.322399999999998</v>
      </c>
      <c r="AG82" s="47">
        <v>21102</v>
      </c>
      <c r="AH82" s="47"/>
      <c r="AI82" s="47">
        <f t="shared" si="53"/>
        <v>36.26</v>
      </c>
      <c r="AJ82" s="53">
        <f t="shared" si="54"/>
        <v>21.057300000000001</v>
      </c>
      <c r="AK82" s="53">
        <f t="shared" si="55"/>
        <v>210573.00000000003</v>
      </c>
      <c r="AL82" s="47"/>
      <c r="AM82" s="47">
        <f t="shared" si="36"/>
        <v>8.9905000000000008</v>
      </c>
      <c r="AN82" s="47">
        <f t="shared" si="37"/>
        <v>8.4642999999999997</v>
      </c>
      <c r="AO82" s="47">
        <f t="shared" si="56"/>
        <v>84643</v>
      </c>
      <c r="AP82" s="47">
        <f t="shared" si="38"/>
        <v>0.5262</v>
      </c>
      <c r="AQ82" s="47">
        <f t="shared" si="57"/>
        <v>5262</v>
      </c>
      <c r="AR82" s="47"/>
      <c r="AS82" s="47">
        <f t="shared" si="58"/>
        <v>1.2331000000000001</v>
      </c>
      <c r="AT82" s="47">
        <f t="shared" si="39"/>
        <v>0.63139999999999996</v>
      </c>
      <c r="AU82" s="47">
        <f t="shared" si="59"/>
        <v>6314</v>
      </c>
      <c r="AV82" s="47">
        <f t="shared" si="40"/>
        <v>0.60170000000000001</v>
      </c>
      <c r="AW82" s="47">
        <f t="shared" si="60"/>
        <v>6017</v>
      </c>
      <c r="AX82" s="47">
        <f t="shared" si="41"/>
        <v>15.792999999999999</v>
      </c>
      <c r="AY82" s="47"/>
      <c r="AZ82" s="47"/>
      <c r="BA82" s="54">
        <v>1E-4</v>
      </c>
      <c r="BB82" s="55" t="s">
        <v>209</v>
      </c>
      <c r="BC82" s="51">
        <f t="shared" si="61"/>
        <v>124.53999999999999</v>
      </c>
      <c r="BD82" s="47">
        <f t="shared" si="32"/>
        <v>17.04</v>
      </c>
      <c r="BE82" s="47">
        <f t="shared" si="62"/>
        <v>10.5</v>
      </c>
      <c r="BF82" s="47">
        <v>8750</v>
      </c>
      <c r="BG82" s="56">
        <v>97</v>
      </c>
      <c r="BH82" s="47"/>
      <c r="BI82" s="51">
        <f t="shared" si="42"/>
        <v>27</v>
      </c>
      <c r="BJ82" s="51">
        <f t="shared" si="43"/>
        <v>0</v>
      </c>
      <c r="BK82" s="47"/>
      <c r="BL82" s="47"/>
      <c r="BM82" s="47"/>
      <c r="BN82" s="47"/>
      <c r="BO82" s="47"/>
      <c r="BP82" s="47"/>
      <c r="BQ82" s="47"/>
      <c r="BR82" s="47"/>
      <c r="BS82" s="53"/>
      <c r="BT82" s="47"/>
      <c r="BU82" s="47"/>
      <c r="BV82" s="47"/>
      <c r="BW82" s="47">
        <v>27</v>
      </c>
      <c r="BX82" s="47"/>
      <c r="BY82" s="47"/>
      <c r="BZ82" s="47"/>
      <c r="CA82" s="47"/>
      <c r="CB82" s="54">
        <f t="shared" si="44"/>
        <v>330.22190000000001</v>
      </c>
    </row>
    <row r="83" spans="1:80" ht="14.25" customHeight="1">
      <c r="A83" s="47">
        <v>76</v>
      </c>
      <c r="B83" s="47" t="s">
        <v>129</v>
      </c>
      <c r="C83" s="48">
        <v>412001</v>
      </c>
      <c r="D83" s="49" t="s">
        <v>210</v>
      </c>
      <c r="E83" s="49" t="s">
        <v>141</v>
      </c>
      <c r="F83" s="50">
        <f t="shared" si="45"/>
        <v>44</v>
      </c>
      <c r="G83" s="50">
        <v>33</v>
      </c>
      <c r="H83" s="50"/>
      <c r="I83" s="50">
        <v>11</v>
      </c>
      <c r="J83" s="50"/>
      <c r="K83" s="50"/>
      <c r="L83" s="50"/>
      <c r="M83" s="50"/>
      <c r="N83" s="50">
        <v>21</v>
      </c>
      <c r="O83" s="50">
        <f t="shared" si="46"/>
        <v>65</v>
      </c>
      <c r="P83" s="51">
        <f t="shared" si="34"/>
        <v>784.86479999999995</v>
      </c>
      <c r="Q83" s="51">
        <f t="shared" si="35"/>
        <v>462.96879999999999</v>
      </c>
      <c r="R83" s="47">
        <f t="shared" si="47"/>
        <v>137038</v>
      </c>
      <c r="S83" s="58">
        <v>104735</v>
      </c>
      <c r="T83" s="51">
        <v>32303</v>
      </c>
      <c r="U83" s="47">
        <f t="shared" si="48"/>
        <v>164.44560000000001</v>
      </c>
      <c r="V83" s="51">
        <f t="shared" si="2"/>
        <v>74.25</v>
      </c>
      <c r="W83" s="47">
        <f t="shared" si="49"/>
        <v>74.25</v>
      </c>
      <c r="X83" s="47"/>
      <c r="Y83" s="47"/>
      <c r="Z83" s="47"/>
      <c r="AA83" s="47"/>
      <c r="AB83" s="51">
        <f t="shared" si="50"/>
        <v>75.0227</v>
      </c>
      <c r="AC83" s="47">
        <f t="shared" si="51"/>
        <v>10.4735</v>
      </c>
      <c r="AD83" s="47"/>
      <c r="AE83" s="47"/>
      <c r="AF83" s="47">
        <f t="shared" si="52"/>
        <v>64.549199999999999</v>
      </c>
      <c r="AG83" s="47">
        <f>13382+21209+19200</f>
        <v>53791</v>
      </c>
      <c r="AH83" s="47"/>
      <c r="AI83" s="47">
        <f t="shared" si="53"/>
        <v>28.49</v>
      </c>
      <c r="AJ83" s="53">
        <f t="shared" si="54"/>
        <v>54.753300000000003</v>
      </c>
      <c r="AK83" s="53">
        <f t="shared" si="55"/>
        <v>547533</v>
      </c>
      <c r="AL83" s="47"/>
      <c r="AM83" s="47">
        <f t="shared" si="36"/>
        <v>22.868300000000001</v>
      </c>
      <c r="AN83" s="47">
        <f t="shared" si="37"/>
        <v>21.532299999999999</v>
      </c>
      <c r="AO83" s="47">
        <f t="shared" si="56"/>
        <v>215323</v>
      </c>
      <c r="AP83" s="47">
        <f t="shared" si="38"/>
        <v>1.3359000000000001</v>
      </c>
      <c r="AQ83" s="47">
        <f t="shared" si="57"/>
        <v>13359</v>
      </c>
      <c r="AR83" s="47"/>
      <c r="AS83" s="47">
        <f t="shared" si="58"/>
        <v>2.0739000000000001</v>
      </c>
      <c r="AT83" s="47">
        <f t="shared" si="39"/>
        <v>1.6031</v>
      </c>
      <c r="AU83" s="47">
        <f t="shared" si="59"/>
        <v>16031</v>
      </c>
      <c r="AV83" s="47">
        <f t="shared" si="40"/>
        <v>0.4708</v>
      </c>
      <c r="AW83" s="47">
        <f t="shared" si="60"/>
        <v>4708</v>
      </c>
      <c r="AX83" s="47">
        <f t="shared" si="41"/>
        <v>41.064999999999998</v>
      </c>
      <c r="AY83" s="47"/>
      <c r="AZ83" s="47"/>
      <c r="BA83" s="54">
        <v>1E-4</v>
      </c>
      <c r="BB83" s="55" t="s">
        <v>210</v>
      </c>
      <c r="BC83" s="51">
        <f t="shared" si="61"/>
        <v>247.44799999999998</v>
      </c>
      <c r="BD83" s="47">
        <f t="shared" si="32"/>
        <v>50.16</v>
      </c>
      <c r="BE83" s="47">
        <f t="shared" si="62"/>
        <v>21.288</v>
      </c>
      <c r="BF83" s="47">
        <f>5650+9340+2750</f>
        <v>17740</v>
      </c>
      <c r="BG83" s="56">
        <v>176</v>
      </c>
      <c r="BH83" s="47"/>
      <c r="BI83" s="51">
        <f t="shared" si="42"/>
        <v>74.447999999999993</v>
      </c>
      <c r="BJ83" s="51">
        <f t="shared" si="43"/>
        <v>0</v>
      </c>
      <c r="BK83" s="47"/>
      <c r="BL83" s="47"/>
      <c r="BM83" s="47"/>
      <c r="BN83" s="47"/>
      <c r="BO83" s="47"/>
      <c r="BP83" s="47"/>
      <c r="BQ83" s="47"/>
      <c r="BR83" s="47"/>
      <c r="BS83" s="53"/>
      <c r="BT83" s="47"/>
      <c r="BU83" s="47"/>
      <c r="BV83" s="47"/>
      <c r="BW83" s="47">
        <v>74.447999999999993</v>
      </c>
      <c r="BX83" s="47"/>
      <c r="BY83" s="47"/>
      <c r="BZ83" s="47"/>
      <c r="CA83" s="47"/>
      <c r="CB83" s="54">
        <f t="shared" si="44"/>
        <v>784.86479999999995</v>
      </c>
    </row>
    <row r="84" spans="1:80" ht="14.25" customHeight="1">
      <c r="A84" s="47">
        <v>77</v>
      </c>
      <c r="B84" s="47" t="s">
        <v>129</v>
      </c>
      <c r="C84" s="48">
        <v>416001</v>
      </c>
      <c r="D84" s="49" t="s">
        <v>211</v>
      </c>
      <c r="E84" s="49" t="s">
        <v>141</v>
      </c>
      <c r="F84" s="50">
        <f t="shared" si="45"/>
        <v>16</v>
      </c>
      <c r="G84" s="50">
        <v>7</v>
      </c>
      <c r="H84" s="50"/>
      <c r="I84" s="50">
        <v>9</v>
      </c>
      <c r="J84" s="50"/>
      <c r="K84" s="50"/>
      <c r="L84" s="50"/>
      <c r="M84" s="50"/>
      <c r="N84" s="50">
        <v>3</v>
      </c>
      <c r="O84" s="50">
        <f t="shared" si="46"/>
        <v>19</v>
      </c>
      <c r="P84" s="51">
        <f t="shared" si="34"/>
        <v>282.08710000000002</v>
      </c>
      <c r="Q84" s="51">
        <f t="shared" si="35"/>
        <v>176.68710000000002</v>
      </c>
      <c r="R84" s="47">
        <f t="shared" si="47"/>
        <v>54056</v>
      </c>
      <c r="S84" s="58">
        <v>23464</v>
      </c>
      <c r="T84" s="51">
        <v>30592</v>
      </c>
      <c r="U84" s="47">
        <f t="shared" si="48"/>
        <v>64.867199999999997</v>
      </c>
      <c r="V84" s="51">
        <f t="shared" si="2"/>
        <v>15.75</v>
      </c>
      <c r="W84" s="47">
        <f t="shared" si="49"/>
        <v>15.75</v>
      </c>
      <c r="X84" s="47"/>
      <c r="Y84" s="47"/>
      <c r="Z84" s="47"/>
      <c r="AA84" s="47"/>
      <c r="AB84" s="51">
        <f t="shared" si="50"/>
        <v>26.3752</v>
      </c>
      <c r="AC84" s="47">
        <f t="shared" si="51"/>
        <v>2.3464</v>
      </c>
      <c r="AD84" s="47"/>
      <c r="AE84" s="47"/>
      <c r="AF84" s="47">
        <f t="shared" si="52"/>
        <v>24.0288</v>
      </c>
      <c r="AG84" s="47">
        <v>20024</v>
      </c>
      <c r="AH84" s="47"/>
      <c r="AI84" s="47">
        <f t="shared" si="53"/>
        <v>23.31</v>
      </c>
      <c r="AJ84" s="53">
        <f t="shared" si="54"/>
        <v>20.848400000000002</v>
      </c>
      <c r="AK84" s="53">
        <f t="shared" si="55"/>
        <v>208484.00000000003</v>
      </c>
      <c r="AL84" s="47"/>
      <c r="AM84" s="47">
        <f t="shared" si="36"/>
        <v>8.8562999999999992</v>
      </c>
      <c r="AN84" s="47">
        <f t="shared" si="37"/>
        <v>8.3367000000000004</v>
      </c>
      <c r="AO84" s="47">
        <f t="shared" si="56"/>
        <v>83367</v>
      </c>
      <c r="AP84" s="47">
        <f t="shared" si="38"/>
        <v>0.51959999999999995</v>
      </c>
      <c r="AQ84" s="47">
        <f t="shared" si="57"/>
        <v>5195.9999999999991</v>
      </c>
      <c r="AR84" s="47"/>
      <c r="AS84" s="47">
        <f t="shared" si="58"/>
        <v>1.0437000000000001</v>
      </c>
      <c r="AT84" s="47">
        <f t="shared" si="39"/>
        <v>0.62360000000000004</v>
      </c>
      <c r="AU84" s="47">
        <f t="shared" si="59"/>
        <v>6236</v>
      </c>
      <c r="AV84" s="47">
        <f t="shared" si="40"/>
        <v>0.42009999999999997</v>
      </c>
      <c r="AW84" s="47">
        <f t="shared" si="60"/>
        <v>4201</v>
      </c>
      <c r="AX84" s="47">
        <f t="shared" si="41"/>
        <v>15.6363</v>
      </c>
      <c r="AY84" s="47"/>
      <c r="AZ84" s="47"/>
      <c r="BA84" s="54">
        <v>1E-4</v>
      </c>
      <c r="BB84" s="55" t="s">
        <v>211</v>
      </c>
      <c r="BC84" s="51">
        <f t="shared" si="61"/>
        <v>105.39999999999999</v>
      </c>
      <c r="BD84" s="47">
        <f t="shared" si="32"/>
        <v>17.04</v>
      </c>
      <c r="BE84" s="47">
        <f t="shared" si="62"/>
        <v>4.5599999999999996</v>
      </c>
      <c r="BF84" s="47">
        <v>3800</v>
      </c>
      <c r="BG84" s="56">
        <v>83</v>
      </c>
      <c r="BH84" s="47">
        <v>0.8</v>
      </c>
      <c r="BI84" s="51">
        <f t="shared" si="42"/>
        <v>0</v>
      </c>
      <c r="BJ84" s="51">
        <f t="shared" si="43"/>
        <v>0</v>
      </c>
      <c r="BK84" s="47"/>
      <c r="BL84" s="47"/>
      <c r="BM84" s="47"/>
      <c r="BN84" s="47"/>
      <c r="BO84" s="47"/>
      <c r="BP84" s="47"/>
      <c r="BQ84" s="47"/>
      <c r="BR84" s="47"/>
      <c r="BS84" s="53"/>
      <c r="BT84" s="47"/>
      <c r="BU84" s="47"/>
      <c r="BV84" s="47"/>
      <c r="BW84" s="47"/>
      <c r="BX84" s="47"/>
      <c r="BY84" s="47"/>
      <c r="BZ84" s="47"/>
      <c r="CA84" s="47"/>
      <c r="CB84" s="54">
        <f t="shared" si="44"/>
        <v>282.08710000000002</v>
      </c>
    </row>
    <row r="85" spans="1:80" ht="14.25" customHeight="1">
      <c r="A85" s="47">
        <v>78</v>
      </c>
      <c r="B85" s="47" t="s">
        <v>129</v>
      </c>
      <c r="C85" s="48">
        <v>410001</v>
      </c>
      <c r="D85" s="49" t="s">
        <v>212</v>
      </c>
      <c r="E85" s="49" t="s">
        <v>150</v>
      </c>
      <c r="F85" s="50">
        <f t="shared" si="45"/>
        <v>5</v>
      </c>
      <c r="G85" s="50"/>
      <c r="H85" s="50"/>
      <c r="I85" s="50">
        <v>5</v>
      </c>
      <c r="J85" s="50"/>
      <c r="K85" s="50"/>
      <c r="L85" s="50"/>
      <c r="M85" s="50"/>
      <c r="N85" s="50"/>
      <c r="O85" s="50">
        <f t="shared" si="46"/>
        <v>5</v>
      </c>
      <c r="P85" s="51">
        <f t="shared" si="34"/>
        <v>99.245199999999983</v>
      </c>
      <c r="Q85" s="51">
        <f t="shared" si="35"/>
        <v>54.585199999999993</v>
      </c>
      <c r="R85" s="47">
        <f t="shared" si="47"/>
        <v>16645</v>
      </c>
      <c r="S85" s="58"/>
      <c r="T85" s="51">
        <v>16645</v>
      </c>
      <c r="U85" s="47">
        <f t="shared" si="48"/>
        <v>19.974</v>
      </c>
      <c r="V85" s="51">
        <f t="shared" si="2"/>
        <v>0</v>
      </c>
      <c r="W85" s="47">
        <f t="shared" si="49"/>
        <v>0</v>
      </c>
      <c r="X85" s="47"/>
      <c r="Y85" s="47"/>
      <c r="Z85" s="47"/>
      <c r="AA85" s="47"/>
      <c r="AB85" s="51">
        <f t="shared" si="50"/>
        <v>7.2</v>
      </c>
      <c r="AC85" s="47">
        <f t="shared" si="51"/>
        <v>0</v>
      </c>
      <c r="AD85" s="47"/>
      <c r="AE85" s="47"/>
      <c r="AF85" s="47">
        <f t="shared" si="52"/>
        <v>7.2</v>
      </c>
      <c r="AG85" s="47">
        <v>6000</v>
      </c>
      <c r="AH85" s="47"/>
      <c r="AI85" s="47">
        <f t="shared" si="53"/>
        <v>12.95</v>
      </c>
      <c r="AJ85" s="53">
        <f t="shared" si="54"/>
        <v>6.4198000000000004</v>
      </c>
      <c r="AK85" s="53">
        <f t="shared" si="55"/>
        <v>64198.000000000007</v>
      </c>
      <c r="AL85" s="47"/>
      <c r="AM85" s="47">
        <f t="shared" si="36"/>
        <v>2.7985000000000002</v>
      </c>
      <c r="AN85" s="47">
        <f t="shared" si="37"/>
        <v>2.6339000000000001</v>
      </c>
      <c r="AO85" s="47">
        <f t="shared" si="56"/>
        <v>26339</v>
      </c>
      <c r="AP85" s="47">
        <f t="shared" si="38"/>
        <v>0.1646</v>
      </c>
      <c r="AQ85" s="47">
        <f t="shared" si="57"/>
        <v>1646</v>
      </c>
      <c r="AR85" s="47"/>
      <c r="AS85" s="47">
        <f t="shared" si="58"/>
        <v>0.42799999999999999</v>
      </c>
      <c r="AT85" s="47">
        <f t="shared" si="39"/>
        <v>0.19750000000000001</v>
      </c>
      <c r="AU85" s="47">
        <f t="shared" si="59"/>
        <v>1975</v>
      </c>
      <c r="AV85" s="47">
        <f t="shared" si="40"/>
        <v>0.23050000000000001</v>
      </c>
      <c r="AW85" s="47">
        <f t="shared" si="60"/>
        <v>2305</v>
      </c>
      <c r="AX85" s="47">
        <f t="shared" si="41"/>
        <v>4.8148999999999997</v>
      </c>
      <c r="AY85" s="47"/>
      <c r="AZ85" s="47"/>
      <c r="BA85" s="54">
        <v>1E-4</v>
      </c>
      <c r="BB85" s="55" t="s">
        <v>212</v>
      </c>
      <c r="BC85" s="51">
        <f t="shared" si="61"/>
        <v>44.66</v>
      </c>
      <c r="BD85" s="47">
        <f t="shared" si="32"/>
        <v>4.8</v>
      </c>
      <c r="BE85" s="47">
        <f t="shared" si="62"/>
        <v>1.86</v>
      </c>
      <c r="BF85" s="47">
        <v>1550</v>
      </c>
      <c r="BG85" s="56">
        <v>38</v>
      </c>
      <c r="BH85" s="47"/>
      <c r="BI85" s="51">
        <f t="shared" si="42"/>
        <v>0</v>
      </c>
      <c r="BJ85" s="51">
        <f t="shared" si="43"/>
        <v>0</v>
      </c>
      <c r="BK85" s="47"/>
      <c r="BL85" s="47"/>
      <c r="BM85" s="47"/>
      <c r="BN85" s="47"/>
      <c r="BO85" s="47"/>
      <c r="BP85" s="47"/>
      <c r="BQ85" s="47"/>
      <c r="BR85" s="47"/>
      <c r="BS85" s="53"/>
      <c r="BT85" s="47"/>
      <c r="BU85" s="47"/>
      <c r="BV85" s="47"/>
      <c r="BW85" s="47"/>
      <c r="BX85" s="47"/>
      <c r="BY85" s="47"/>
      <c r="BZ85" s="47"/>
      <c r="CA85" s="47"/>
      <c r="CB85" s="54">
        <f t="shared" si="44"/>
        <v>99.245199999999983</v>
      </c>
    </row>
    <row r="86" spans="1:80" ht="14.25" customHeight="1">
      <c r="A86" s="47">
        <v>79</v>
      </c>
      <c r="B86" s="47" t="s">
        <v>129</v>
      </c>
      <c r="C86" s="48">
        <v>404001</v>
      </c>
      <c r="D86" s="49" t="s">
        <v>213</v>
      </c>
      <c r="E86" s="49" t="s">
        <v>131</v>
      </c>
      <c r="F86" s="50">
        <f t="shared" si="45"/>
        <v>55</v>
      </c>
      <c r="G86" s="50">
        <v>33</v>
      </c>
      <c r="H86" s="50"/>
      <c r="I86" s="50">
        <v>16</v>
      </c>
      <c r="J86" s="50">
        <v>6</v>
      </c>
      <c r="K86" s="50"/>
      <c r="L86" s="50"/>
      <c r="M86" s="50"/>
      <c r="N86" s="50">
        <v>7</v>
      </c>
      <c r="O86" s="50">
        <f t="shared" si="46"/>
        <v>62</v>
      </c>
      <c r="P86" s="51">
        <f t="shared" si="34"/>
        <v>934.55700000000002</v>
      </c>
      <c r="Q86" s="51">
        <f t="shared" si="35"/>
        <v>592.48900000000003</v>
      </c>
      <c r="R86" s="47">
        <f t="shared" si="47"/>
        <v>175613</v>
      </c>
      <c r="S86" s="58">
        <v>111395</v>
      </c>
      <c r="T86" s="51">
        <v>64218</v>
      </c>
      <c r="U86" s="47">
        <f t="shared" si="48"/>
        <v>210.73560000000001</v>
      </c>
      <c r="V86" s="51">
        <f t="shared" si="2"/>
        <v>74.25</v>
      </c>
      <c r="W86" s="47">
        <f t="shared" si="49"/>
        <v>74.25</v>
      </c>
      <c r="X86" s="47"/>
      <c r="Y86" s="47"/>
      <c r="Z86" s="47"/>
      <c r="AA86" s="47"/>
      <c r="AB86" s="51">
        <f t="shared" si="50"/>
        <v>95.830699999999993</v>
      </c>
      <c r="AC86" s="47">
        <f t="shared" si="51"/>
        <v>11.1395</v>
      </c>
      <c r="AD86" s="47"/>
      <c r="AE86" s="47"/>
      <c r="AF86" s="47">
        <f t="shared" si="52"/>
        <v>84.691199999999995</v>
      </c>
      <c r="AG86" s="47">
        <v>70576</v>
      </c>
      <c r="AH86" s="47"/>
      <c r="AI86" s="47">
        <f t="shared" si="53"/>
        <v>56.98</v>
      </c>
      <c r="AJ86" s="53">
        <f t="shared" si="54"/>
        <v>70.047399999999996</v>
      </c>
      <c r="AK86" s="53">
        <f t="shared" si="55"/>
        <v>700474</v>
      </c>
      <c r="AL86" s="47"/>
      <c r="AM86" s="47">
        <f t="shared" si="36"/>
        <v>29.119599999999998</v>
      </c>
      <c r="AN86" s="47">
        <f t="shared" si="37"/>
        <v>27.409700000000001</v>
      </c>
      <c r="AO86" s="47">
        <f t="shared" si="56"/>
        <v>274097</v>
      </c>
      <c r="AP86" s="47">
        <f t="shared" si="38"/>
        <v>1.7098</v>
      </c>
      <c r="AQ86" s="47">
        <f t="shared" si="57"/>
        <v>17098</v>
      </c>
      <c r="AR86" s="47"/>
      <c r="AS86" s="47">
        <f t="shared" si="58"/>
        <v>2.9901</v>
      </c>
      <c r="AT86" s="47">
        <f t="shared" si="39"/>
        <v>2.0518000000000001</v>
      </c>
      <c r="AU86" s="47">
        <f t="shared" si="59"/>
        <v>20518</v>
      </c>
      <c r="AV86" s="47">
        <f t="shared" si="40"/>
        <v>0.93830000000000002</v>
      </c>
      <c r="AW86" s="47">
        <f t="shared" si="60"/>
        <v>9383</v>
      </c>
      <c r="AX86" s="47">
        <f t="shared" si="41"/>
        <v>52.535600000000002</v>
      </c>
      <c r="AY86" s="47"/>
      <c r="AZ86" s="47"/>
      <c r="BA86" s="54">
        <v>1E-4</v>
      </c>
      <c r="BB86" s="55" t="s">
        <v>213</v>
      </c>
      <c r="BC86" s="51">
        <f t="shared" si="61"/>
        <v>342.06799999999998</v>
      </c>
      <c r="BD86" s="47">
        <f t="shared" si="32"/>
        <v>60.72</v>
      </c>
      <c r="BE86" s="47">
        <f t="shared" si="62"/>
        <v>36.347999999999999</v>
      </c>
      <c r="BF86" s="47">
        <v>30290</v>
      </c>
      <c r="BG86" s="56">
        <v>227</v>
      </c>
      <c r="BH86" s="47">
        <v>18</v>
      </c>
      <c r="BI86" s="51">
        <f t="shared" si="42"/>
        <v>0</v>
      </c>
      <c r="BJ86" s="51">
        <f t="shared" si="43"/>
        <v>0</v>
      </c>
      <c r="BK86" s="47"/>
      <c r="BL86" s="47"/>
      <c r="BM86" s="47"/>
      <c r="BN86" s="47"/>
      <c r="BO86" s="47"/>
      <c r="BP86" s="47"/>
      <c r="BQ86" s="47"/>
      <c r="BR86" s="47"/>
      <c r="BS86" s="53"/>
      <c r="BT86" s="47"/>
      <c r="BU86" s="47"/>
      <c r="BV86" s="47"/>
      <c r="BW86" s="47"/>
      <c r="BX86" s="47"/>
      <c r="BY86" s="47"/>
      <c r="BZ86" s="47"/>
      <c r="CA86" s="47"/>
      <c r="CB86" s="54">
        <f t="shared" si="44"/>
        <v>934.55700000000002</v>
      </c>
    </row>
    <row r="87" spans="1:80" ht="14.25" customHeight="1">
      <c r="A87" s="47">
        <v>80</v>
      </c>
      <c r="B87" s="47" t="s">
        <v>129</v>
      </c>
      <c r="C87" s="48">
        <v>402001</v>
      </c>
      <c r="D87" s="49" t="s">
        <v>214</v>
      </c>
      <c r="E87" s="49" t="s">
        <v>131</v>
      </c>
      <c r="F87" s="50">
        <f t="shared" si="45"/>
        <v>60</v>
      </c>
      <c r="G87" s="50">
        <v>17</v>
      </c>
      <c r="H87" s="50">
        <v>1</v>
      </c>
      <c r="I87" s="50">
        <v>42</v>
      </c>
      <c r="J87" s="50"/>
      <c r="K87" s="50"/>
      <c r="L87" s="50"/>
      <c r="M87" s="50"/>
      <c r="N87" s="50">
        <v>43</v>
      </c>
      <c r="O87" s="50">
        <f t="shared" si="46"/>
        <v>103</v>
      </c>
      <c r="P87" s="51">
        <f t="shared" si="34"/>
        <v>2478.2260000000001</v>
      </c>
      <c r="Q87" s="51">
        <f t="shared" si="35"/>
        <v>829.25400000000013</v>
      </c>
      <c r="R87" s="47">
        <f t="shared" si="47"/>
        <v>198591</v>
      </c>
      <c r="S87" s="58">
        <v>72544</v>
      </c>
      <c r="T87" s="51">
        <v>126047</v>
      </c>
      <c r="U87" s="47">
        <f t="shared" si="48"/>
        <v>238.3092</v>
      </c>
      <c r="V87" s="51">
        <f t="shared" si="2"/>
        <v>40.5</v>
      </c>
      <c r="W87" s="47">
        <f t="shared" si="49"/>
        <v>40.5</v>
      </c>
      <c r="X87" s="47"/>
      <c r="Y87" s="47"/>
      <c r="Z87" s="47"/>
      <c r="AA87" s="47"/>
      <c r="AB87" s="51">
        <f t="shared" si="50"/>
        <v>100.21600000000001</v>
      </c>
      <c r="AC87" s="47">
        <f t="shared" si="51"/>
        <v>7.2544000000000004</v>
      </c>
      <c r="AD87" s="47"/>
      <c r="AE87" s="47"/>
      <c r="AF87" s="47">
        <f t="shared" si="52"/>
        <v>92.961600000000004</v>
      </c>
      <c r="AG87" s="47">
        <v>77468</v>
      </c>
      <c r="AH87" s="47"/>
      <c r="AI87" s="47">
        <f t="shared" si="53"/>
        <v>108.78</v>
      </c>
      <c r="AJ87" s="53">
        <f t="shared" si="54"/>
        <v>78.0488</v>
      </c>
      <c r="AK87" s="53">
        <f t="shared" si="55"/>
        <v>780488</v>
      </c>
      <c r="AL87" s="47"/>
      <c r="AM87" s="47">
        <f t="shared" si="36"/>
        <v>33.267600000000002</v>
      </c>
      <c r="AN87" s="47">
        <f t="shared" si="37"/>
        <v>31.329599999999999</v>
      </c>
      <c r="AO87" s="47">
        <f t="shared" si="56"/>
        <v>313296</v>
      </c>
      <c r="AP87" s="47">
        <f t="shared" si="38"/>
        <v>1.9379</v>
      </c>
      <c r="AQ87" s="47">
        <f t="shared" si="57"/>
        <v>19379</v>
      </c>
      <c r="AR87" s="47"/>
      <c r="AS87" s="47">
        <f t="shared" si="58"/>
        <v>4.1458000000000004</v>
      </c>
      <c r="AT87" s="47">
        <f t="shared" si="39"/>
        <v>2.3254999999999999</v>
      </c>
      <c r="AU87" s="47">
        <f t="shared" si="59"/>
        <v>23255</v>
      </c>
      <c r="AV87" s="47">
        <f t="shared" si="40"/>
        <v>1.8203</v>
      </c>
      <c r="AW87" s="47">
        <f t="shared" si="60"/>
        <v>18203</v>
      </c>
      <c r="AX87" s="47">
        <f t="shared" si="41"/>
        <v>58.5366</v>
      </c>
      <c r="AY87" s="47"/>
      <c r="AZ87" s="47">
        <f>140+27.45</f>
        <v>167.45</v>
      </c>
      <c r="BA87" s="54">
        <v>1E-4</v>
      </c>
      <c r="BB87" s="55" t="s">
        <v>214</v>
      </c>
      <c r="BC87" s="51">
        <f t="shared" si="61"/>
        <v>361.77600000000001</v>
      </c>
      <c r="BD87" s="47">
        <f t="shared" si="32"/>
        <v>61.92</v>
      </c>
      <c r="BE87" s="47">
        <f t="shared" si="62"/>
        <v>23.856000000000002</v>
      </c>
      <c r="BF87" s="47">
        <v>19880</v>
      </c>
      <c r="BG87" s="56">
        <v>261</v>
      </c>
      <c r="BH87" s="47">
        <v>15</v>
      </c>
      <c r="BI87" s="51">
        <f t="shared" si="42"/>
        <v>1287.1959999999999</v>
      </c>
      <c r="BJ87" s="51">
        <f t="shared" si="43"/>
        <v>0</v>
      </c>
      <c r="BK87" s="47"/>
      <c r="BL87" s="47"/>
      <c r="BM87" s="47"/>
      <c r="BN87" s="47"/>
      <c r="BO87" s="47"/>
      <c r="BP87" s="68">
        <v>9.9359999999999999</v>
      </c>
      <c r="BQ87" s="47"/>
      <c r="BR87" s="47"/>
      <c r="BS87" s="53"/>
      <c r="BT87" s="47"/>
      <c r="BU87" s="47"/>
      <c r="BV87" s="47"/>
      <c r="BW87" s="47">
        <f>1444.71-167.45</f>
        <v>1277.26</v>
      </c>
      <c r="BX87" s="47"/>
      <c r="BY87" s="47"/>
      <c r="BZ87" s="47"/>
      <c r="CA87" s="47"/>
      <c r="CB87" s="54">
        <f t="shared" si="44"/>
        <v>2478.2260000000001</v>
      </c>
    </row>
    <row r="88" spans="1:80" ht="14.25" customHeight="1">
      <c r="A88" s="47">
        <v>81</v>
      </c>
      <c r="B88" s="47" t="s">
        <v>129</v>
      </c>
      <c r="C88" s="48">
        <v>408001</v>
      </c>
      <c r="D88" s="49" t="s">
        <v>215</v>
      </c>
      <c r="E88" s="49" t="s">
        <v>143</v>
      </c>
      <c r="F88" s="50">
        <f t="shared" si="45"/>
        <v>9</v>
      </c>
      <c r="G88" s="50">
        <v>6</v>
      </c>
      <c r="H88" s="50">
        <v>3</v>
      </c>
      <c r="I88" s="50"/>
      <c r="J88" s="50"/>
      <c r="K88" s="50"/>
      <c r="L88" s="50"/>
      <c r="M88" s="50"/>
      <c r="N88" s="50">
        <v>5</v>
      </c>
      <c r="O88" s="50">
        <f t="shared" si="46"/>
        <v>14</v>
      </c>
      <c r="P88" s="51">
        <f t="shared" si="34"/>
        <v>144.50830000000002</v>
      </c>
      <c r="Q88" s="51">
        <f t="shared" si="35"/>
        <v>95.648300000000006</v>
      </c>
      <c r="R88" s="47">
        <f t="shared" si="47"/>
        <v>27786</v>
      </c>
      <c r="S88" s="58">
        <v>27786</v>
      </c>
      <c r="T88" s="51"/>
      <c r="U88" s="47">
        <f t="shared" si="48"/>
        <v>33.343200000000003</v>
      </c>
      <c r="V88" s="51">
        <f t="shared" si="2"/>
        <v>20.25</v>
      </c>
      <c r="W88" s="47">
        <f t="shared" si="49"/>
        <v>20.25</v>
      </c>
      <c r="X88" s="47"/>
      <c r="Y88" s="47"/>
      <c r="Z88" s="47"/>
      <c r="AA88" s="47"/>
      <c r="AB88" s="51">
        <f t="shared" si="50"/>
        <v>17.2926</v>
      </c>
      <c r="AC88" s="47">
        <f t="shared" si="51"/>
        <v>2.7786</v>
      </c>
      <c r="AD88" s="47"/>
      <c r="AE88" s="47"/>
      <c r="AF88" s="47">
        <f t="shared" si="52"/>
        <v>14.513999999999999</v>
      </c>
      <c r="AG88" s="47">
        <v>12095</v>
      </c>
      <c r="AH88" s="47"/>
      <c r="AI88" s="47">
        <f t="shared" si="53"/>
        <v>0</v>
      </c>
      <c r="AJ88" s="53">
        <f t="shared" si="54"/>
        <v>11.341699999999999</v>
      </c>
      <c r="AK88" s="53">
        <f t="shared" si="55"/>
        <v>113417</v>
      </c>
      <c r="AL88" s="47"/>
      <c r="AM88" s="47">
        <f t="shared" si="36"/>
        <v>4.5929000000000002</v>
      </c>
      <c r="AN88" s="47">
        <f t="shared" si="37"/>
        <v>4.3250000000000002</v>
      </c>
      <c r="AO88" s="47">
        <f t="shared" si="56"/>
        <v>43250</v>
      </c>
      <c r="AP88" s="47">
        <f t="shared" si="38"/>
        <v>0.26800000000000002</v>
      </c>
      <c r="AQ88" s="47">
        <f t="shared" si="57"/>
        <v>2680</v>
      </c>
      <c r="AR88" s="47"/>
      <c r="AS88" s="47">
        <f t="shared" si="58"/>
        <v>0.3216</v>
      </c>
      <c r="AT88" s="47">
        <f t="shared" si="39"/>
        <v>0.3216</v>
      </c>
      <c r="AU88" s="47">
        <f t="shared" si="59"/>
        <v>3216</v>
      </c>
      <c r="AV88" s="47">
        <f t="shared" si="40"/>
        <v>0</v>
      </c>
      <c r="AW88" s="47">
        <f t="shared" si="60"/>
        <v>0</v>
      </c>
      <c r="AX88" s="47">
        <f t="shared" si="41"/>
        <v>8.5062999999999995</v>
      </c>
      <c r="AY88" s="47"/>
      <c r="AZ88" s="47"/>
      <c r="BA88" s="54">
        <v>1E-4</v>
      </c>
      <c r="BB88" s="55" t="s">
        <v>215</v>
      </c>
      <c r="BC88" s="51">
        <f t="shared" si="61"/>
        <v>48.86</v>
      </c>
      <c r="BD88" s="47">
        <f t="shared" si="32"/>
        <v>10.799999999999999</v>
      </c>
      <c r="BE88" s="47">
        <f t="shared" si="62"/>
        <v>6.06</v>
      </c>
      <c r="BF88" s="47">
        <v>5050</v>
      </c>
      <c r="BG88" s="56">
        <v>32</v>
      </c>
      <c r="BH88" s="47"/>
      <c r="BI88" s="51">
        <f t="shared" si="42"/>
        <v>0</v>
      </c>
      <c r="BJ88" s="51">
        <f t="shared" si="43"/>
        <v>0</v>
      </c>
      <c r="BK88" s="47"/>
      <c r="BL88" s="47"/>
      <c r="BM88" s="47"/>
      <c r="BN88" s="47"/>
      <c r="BO88" s="47"/>
      <c r="BP88" s="47"/>
      <c r="BQ88" s="47"/>
      <c r="BR88" s="47"/>
      <c r="BS88" s="53"/>
      <c r="BT88" s="47"/>
      <c r="BU88" s="47"/>
      <c r="BV88" s="47"/>
      <c r="BW88" s="47"/>
      <c r="BX88" s="47"/>
      <c r="BY88" s="47"/>
      <c r="BZ88" s="47"/>
      <c r="CA88" s="47"/>
      <c r="CB88" s="54">
        <f t="shared" si="44"/>
        <v>144.50830000000002</v>
      </c>
    </row>
    <row r="89" spans="1:80" ht="14.25" customHeight="1">
      <c r="A89" s="47">
        <v>82</v>
      </c>
      <c r="B89" s="47" t="s">
        <v>129</v>
      </c>
      <c r="C89" s="48">
        <v>409001</v>
      </c>
      <c r="D89" s="49" t="s">
        <v>216</v>
      </c>
      <c r="E89" s="49" t="s">
        <v>131</v>
      </c>
      <c r="F89" s="50">
        <f t="shared" si="45"/>
        <v>25</v>
      </c>
      <c r="G89" s="50">
        <v>6</v>
      </c>
      <c r="H89" s="50"/>
      <c r="I89" s="50">
        <v>19</v>
      </c>
      <c r="J89" s="50"/>
      <c r="K89" s="50"/>
      <c r="L89" s="50"/>
      <c r="M89" s="50"/>
      <c r="N89" s="50">
        <v>1</v>
      </c>
      <c r="O89" s="50">
        <f t="shared" si="46"/>
        <v>26</v>
      </c>
      <c r="P89" s="51">
        <f t="shared" si="34"/>
        <v>4051.0226000000002</v>
      </c>
      <c r="Q89" s="51">
        <f t="shared" si="35"/>
        <v>274.4726</v>
      </c>
      <c r="R89" s="47">
        <f t="shared" si="47"/>
        <v>82887</v>
      </c>
      <c r="S89" s="58">
        <v>20746</v>
      </c>
      <c r="T89" s="51">
        <v>62141</v>
      </c>
      <c r="U89" s="47">
        <f t="shared" si="48"/>
        <v>99.464399999999998</v>
      </c>
      <c r="V89" s="51">
        <f t="shared" si="2"/>
        <v>13.5</v>
      </c>
      <c r="W89" s="47">
        <f t="shared" si="49"/>
        <v>13.5</v>
      </c>
      <c r="X89" s="47"/>
      <c r="Y89" s="47"/>
      <c r="Z89" s="47"/>
      <c r="AA89" s="47"/>
      <c r="AB89" s="51">
        <f t="shared" si="50"/>
        <v>40.045000000000002</v>
      </c>
      <c r="AC89" s="47">
        <f t="shared" si="51"/>
        <v>2.0746000000000002</v>
      </c>
      <c r="AD89" s="47"/>
      <c r="AE89" s="47"/>
      <c r="AF89" s="47">
        <f t="shared" si="52"/>
        <v>37.970399999999998</v>
      </c>
      <c r="AG89" s="47">
        <v>31642</v>
      </c>
      <c r="AH89" s="47"/>
      <c r="AI89" s="47">
        <f t="shared" si="53"/>
        <v>49.21</v>
      </c>
      <c r="AJ89" s="53">
        <f t="shared" si="54"/>
        <v>32.3551</v>
      </c>
      <c r="AK89" s="53">
        <f t="shared" si="55"/>
        <v>323551</v>
      </c>
      <c r="AL89" s="47"/>
      <c r="AM89" s="47">
        <f t="shared" si="36"/>
        <v>13.792299999999999</v>
      </c>
      <c r="AN89" s="47">
        <f t="shared" si="37"/>
        <v>12.9815</v>
      </c>
      <c r="AO89" s="47">
        <f t="shared" si="56"/>
        <v>129815</v>
      </c>
      <c r="AP89" s="47">
        <f t="shared" si="38"/>
        <v>0.81089999999999995</v>
      </c>
      <c r="AQ89" s="47">
        <f t="shared" si="57"/>
        <v>8108.9999999999991</v>
      </c>
      <c r="AR89" s="47"/>
      <c r="AS89" s="47">
        <f t="shared" si="58"/>
        <v>1.8394999999999999</v>
      </c>
      <c r="AT89" s="47">
        <f t="shared" si="39"/>
        <v>0.97299999999999998</v>
      </c>
      <c r="AU89" s="47">
        <f t="shared" si="59"/>
        <v>9730</v>
      </c>
      <c r="AV89" s="47">
        <f t="shared" si="40"/>
        <v>0.86650000000000005</v>
      </c>
      <c r="AW89" s="47">
        <f t="shared" si="60"/>
        <v>8665</v>
      </c>
      <c r="AX89" s="47">
        <f t="shared" si="41"/>
        <v>24.266300000000001</v>
      </c>
      <c r="AY89" s="47"/>
      <c r="AZ89" s="47"/>
      <c r="BA89" s="54">
        <v>1E-4</v>
      </c>
      <c r="BB89" s="55" t="s">
        <v>216</v>
      </c>
      <c r="BC89" s="51">
        <f t="shared" si="61"/>
        <v>211.82</v>
      </c>
      <c r="BD89" s="47">
        <f t="shared" si="32"/>
        <v>25.439999999999998</v>
      </c>
      <c r="BE89" s="47">
        <f t="shared" si="62"/>
        <v>4.38</v>
      </c>
      <c r="BF89" s="47">
        <v>3650</v>
      </c>
      <c r="BG89" s="56">
        <v>182</v>
      </c>
      <c r="BH89" s="47"/>
      <c r="BI89" s="51">
        <f t="shared" si="42"/>
        <v>3564.73</v>
      </c>
      <c r="BJ89" s="51">
        <f t="shared" si="43"/>
        <v>0</v>
      </c>
      <c r="BK89" s="47"/>
      <c r="BL89" s="47"/>
      <c r="BM89" s="47"/>
      <c r="BN89" s="47"/>
      <c r="BO89" s="47"/>
      <c r="BP89" s="47"/>
      <c r="BQ89" s="47"/>
      <c r="BR89" s="47">
        <v>620</v>
      </c>
      <c r="BS89" s="53"/>
      <c r="BT89" s="47"/>
      <c r="BU89" s="47"/>
      <c r="BV89" s="47"/>
      <c r="BW89" s="67">
        <f>3564.73-620</f>
        <v>2944.73</v>
      </c>
      <c r="BX89" s="47"/>
      <c r="BY89" s="47"/>
      <c r="BZ89" s="47"/>
      <c r="CA89" s="47"/>
      <c r="CB89" s="54">
        <f t="shared" si="44"/>
        <v>4051.0226000000002</v>
      </c>
    </row>
    <row r="90" spans="1:80" ht="14.25" customHeight="1">
      <c r="A90" s="47">
        <v>83</v>
      </c>
      <c r="B90" s="47" t="s">
        <v>129</v>
      </c>
      <c r="C90" s="48">
        <v>406001</v>
      </c>
      <c r="D90" s="49" t="s">
        <v>217</v>
      </c>
      <c r="E90" s="49" t="s">
        <v>150</v>
      </c>
      <c r="F90" s="50">
        <f t="shared" si="45"/>
        <v>12</v>
      </c>
      <c r="G90" s="50"/>
      <c r="H90" s="50"/>
      <c r="I90" s="50">
        <v>12</v>
      </c>
      <c r="J90" s="50"/>
      <c r="K90" s="50"/>
      <c r="L90" s="50"/>
      <c r="M90" s="50"/>
      <c r="N90" s="50">
        <v>91</v>
      </c>
      <c r="O90" s="50">
        <f t="shared" si="46"/>
        <v>103</v>
      </c>
      <c r="P90" s="51">
        <f t="shared" si="34"/>
        <v>287.18180000000001</v>
      </c>
      <c r="Q90" s="51">
        <f t="shared" si="35"/>
        <v>167.92580000000001</v>
      </c>
      <c r="R90" s="47">
        <f t="shared" si="47"/>
        <v>61863</v>
      </c>
      <c r="S90" s="58"/>
      <c r="T90" s="51">
        <v>61863</v>
      </c>
      <c r="U90" s="47">
        <f t="shared" si="48"/>
        <v>74.235600000000005</v>
      </c>
      <c r="V90" s="51">
        <f t="shared" si="2"/>
        <v>0</v>
      </c>
      <c r="W90" s="47">
        <f t="shared" si="49"/>
        <v>0</v>
      </c>
      <c r="X90" s="47"/>
      <c r="Y90" s="47"/>
      <c r="Z90" s="47"/>
      <c r="AA90" s="47"/>
      <c r="AB90" s="51">
        <f t="shared" si="50"/>
        <v>17.28</v>
      </c>
      <c r="AC90" s="47">
        <f t="shared" si="51"/>
        <v>0</v>
      </c>
      <c r="AD90" s="47"/>
      <c r="AE90" s="47"/>
      <c r="AF90" s="47">
        <f t="shared" si="52"/>
        <v>17.28</v>
      </c>
      <c r="AG90" s="47">
        <v>14400</v>
      </c>
      <c r="AH90" s="47"/>
      <c r="AI90" s="47">
        <f t="shared" si="53"/>
        <v>31.08</v>
      </c>
      <c r="AJ90" s="53">
        <f t="shared" si="54"/>
        <v>19.615300000000001</v>
      </c>
      <c r="AK90" s="53">
        <f t="shared" si="55"/>
        <v>196153</v>
      </c>
      <c r="AL90" s="47"/>
      <c r="AM90" s="47">
        <f t="shared" si="36"/>
        <v>9.6342999999999996</v>
      </c>
      <c r="AN90" s="47">
        <f t="shared" si="37"/>
        <v>9.1076999999999995</v>
      </c>
      <c r="AO90" s="47">
        <f t="shared" si="56"/>
        <v>91077</v>
      </c>
      <c r="AP90" s="47">
        <f t="shared" si="38"/>
        <v>0.52659999999999996</v>
      </c>
      <c r="AQ90" s="47">
        <f t="shared" si="57"/>
        <v>5266</v>
      </c>
      <c r="AR90" s="47"/>
      <c r="AS90" s="47">
        <f t="shared" si="58"/>
        <v>1.3691</v>
      </c>
      <c r="AT90" s="47">
        <f t="shared" si="39"/>
        <v>0.63190000000000002</v>
      </c>
      <c r="AU90" s="47">
        <f t="shared" si="59"/>
        <v>6319</v>
      </c>
      <c r="AV90" s="47">
        <f t="shared" si="40"/>
        <v>0.73719999999999997</v>
      </c>
      <c r="AW90" s="47">
        <f t="shared" si="60"/>
        <v>7372</v>
      </c>
      <c r="AX90" s="47">
        <f t="shared" si="41"/>
        <v>14.711499999999999</v>
      </c>
      <c r="AY90" s="47"/>
      <c r="AZ90" s="47"/>
      <c r="BA90" s="54">
        <v>1E-4</v>
      </c>
      <c r="BB90" s="55" t="s">
        <v>217</v>
      </c>
      <c r="BC90" s="51">
        <f t="shared" si="61"/>
        <v>111.94800000000001</v>
      </c>
      <c r="BD90" s="47">
        <f t="shared" si="32"/>
        <v>11.52</v>
      </c>
      <c r="BE90" s="47">
        <f t="shared" si="62"/>
        <v>11.928000000000001</v>
      </c>
      <c r="BF90" s="47">
        <v>9940</v>
      </c>
      <c r="BG90" s="56">
        <v>88.5</v>
      </c>
      <c r="BH90" s="47"/>
      <c r="BI90" s="51">
        <f t="shared" si="42"/>
        <v>7.3079999999999998</v>
      </c>
      <c r="BJ90" s="51">
        <f t="shared" si="43"/>
        <v>0</v>
      </c>
      <c r="BK90" s="68"/>
      <c r="BL90" s="68"/>
      <c r="BM90" s="47"/>
      <c r="BN90" s="47"/>
      <c r="BO90" s="47"/>
      <c r="BP90" s="68">
        <v>7.3079999999999998</v>
      </c>
      <c r="BQ90" s="47"/>
      <c r="BR90" s="47"/>
      <c r="BS90" s="53"/>
      <c r="BT90" s="47"/>
      <c r="BU90" s="47"/>
      <c r="BV90" s="47"/>
      <c r="BW90" s="47"/>
      <c r="BX90" s="47"/>
      <c r="BY90" s="47"/>
      <c r="BZ90" s="47"/>
      <c r="CA90" s="47"/>
      <c r="CB90" s="54">
        <f t="shared" si="44"/>
        <v>287.18180000000001</v>
      </c>
    </row>
    <row r="91" spans="1:80" ht="14.25" customHeight="1">
      <c r="A91" s="47">
        <v>84</v>
      </c>
      <c r="B91" s="47" t="s">
        <v>129</v>
      </c>
      <c r="C91" s="48">
        <v>403001</v>
      </c>
      <c r="D91" s="49" t="s">
        <v>218</v>
      </c>
      <c r="E91" s="49" t="s">
        <v>131</v>
      </c>
      <c r="F91" s="50">
        <f t="shared" si="45"/>
        <v>42</v>
      </c>
      <c r="G91" s="50">
        <v>25</v>
      </c>
      <c r="H91" s="50">
        <v>3</v>
      </c>
      <c r="I91" s="50">
        <v>14</v>
      </c>
      <c r="J91" s="50"/>
      <c r="K91" s="50"/>
      <c r="L91" s="50"/>
      <c r="M91" s="50"/>
      <c r="N91" s="50">
        <v>41</v>
      </c>
      <c r="O91" s="50">
        <f t="shared" si="46"/>
        <v>83</v>
      </c>
      <c r="P91" s="51">
        <f t="shared" si="34"/>
        <v>3580.9603999999999</v>
      </c>
      <c r="Q91" s="51">
        <f t="shared" si="35"/>
        <v>2336.2352000000001</v>
      </c>
      <c r="R91" s="47">
        <f t="shared" si="47"/>
        <v>161157</v>
      </c>
      <c r="S91" s="58">
        <v>113023</v>
      </c>
      <c r="T91" s="51">
        <v>48134</v>
      </c>
      <c r="U91" s="47">
        <f t="shared" si="48"/>
        <v>193.38839999999999</v>
      </c>
      <c r="V91" s="51">
        <f t="shared" si="2"/>
        <v>148.78</v>
      </c>
      <c r="W91" s="47">
        <f t="shared" si="49"/>
        <v>63</v>
      </c>
      <c r="X91" s="47"/>
      <c r="Y91" s="67">
        <v>85.78</v>
      </c>
      <c r="Z91" s="47"/>
      <c r="AA91" s="47"/>
      <c r="AB91" s="51">
        <f t="shared" si="50"/>
        <v>81.526300000000006</v>
      </c>
      <c r="AC91" s="47">
        <f t="shared" si="51"/>
        <v>11.302300000000001</v>
      </c>
      <c r="AD91" s="47"/>
      <c r="AE91" s="47"/>
      <c r="AF91" s="47">
        <f t="shared" si="52"/>
        <v>70.224000000000004</v>
      </c>
      <c r="AG91" s="47">
        <v>58520</v>
      </c>
      <c r="AH91" s="47"/>
      <c r="AI91" s="47">
        <f t="shared" si="53"/>
        <v>36.26</v>
      </c>
      <c r="AJ91" s="53">
        <f t="shared" si="54"/>
        <v>59.868000000000002</v>
      </c>
      <c r="AK91" s="53">
        <f t="shared" si="55"/>
        <v>598680</v>
      </c>
      <c r="AL91" s="67"/>
      <c r="AM91" s="47">
        <f>ROUND(((U91+W91+AI91)*0.085+N91*0.0075),4)+3.9149</f>
        <v>29.0975</v>
      </c>
      <c r="AN91" s="47">
        <f t="shared" si="37"/>
        <v>23.7194</v>
      </c>
      <c r="AO91" s="47">
        <f t="shared" si="56"/>
        <v>237194</v>
      </c>
      <c r="AP91" s="47">
        <f t="shared" si="38"/>
        <v>1.4632000000000001</v>
      </c>
      <c r="AQ91" s="47">
        <f t="shared" si="57"/>
        <v>14632</v>
      </c>
      <c r="AR91" s="47"/>
      <c r="AS91" s="47">
        <f t="shared" si="58"/>
        <v>2.4140000000000001</v>
      </c>
      <c r="AT91" s="47">
        <f t="shared" si="39"/>
        <v>1.7559</v>
      </c>
      <c r="AU91" s="47">
        <f t="shared" si="59"/>
        <v>17559</v>
      </c>
      <c r="AV91" s="47">
        <f t="shared" si="40"/>
        <v>0.65810000000000002</v>
      </c>
      <c r="AW91" s="47">
        <f t="shared" si="60"/>
        <v>6581</v>
      </c>
      <c r="AX91" s="47">
        <f t="shared" si="41"/>
        <v>44.901000000000003</v>
      </c>
      <c r="AY91" s="47"/>
      <c r="AZ91" s="67">
        <v>1740</v>
      </c>
      <c r="BA91" s="54">
        <v>1E-4</v>
      </c>
      <c r="BB91" s="55" t="s">
        <v>218</v>
      </c>
      <c r="BC91" s="51">
        <f t="shared" si="61"/>
        <v>427.71199999999999</v>
      </c>
      <c r="BD91" s="47">
        <f t="shared" si="32"/>
        <v>47.04</v>
      </c>
      <c r="BE91" s="47">
        <f t="shared" si="62"/>
        <v>27.672000000000001</v>
      </c>
      <c r="BF91" s="47">
        <v>23060</v>
      </c>
      <c r="BG91" s="56">
        <v>353</v>
      </c>
      <c r="BH91" s="47"/>
      <c r="BI91" s="51">
        <f t="shared" si="42"/>
        <v>817.01319999999998</v>
      </c>
      <c r="BJ91" s="51">
        <f t="shared" si="43"/>
        <v>0</v>
      </c>
      <c r="BK91" s="47"/>
      <c r="BL91" s="47"/>
      <c r="BM91" s="47"/>
      <c r="BN91" s="47"/>
      <c r="BO91" s="47"/>
      <c r="BP91" s="68">
        <v>3.4632000000000001</v>
      </c>
      <c r="BQ91" s="47"/>
      <c r="BR91" s="47"/>
      <c r="BS91" s="53"/>
      <c r="BT91" s="47"/>
      <c r="BU91" s="47"/>
      <c r="BV91" s="47"/>
      <c r="BW91" s="68">
        <f>783.55+30</f>
        <v>813.55</v>
      </c>
      <c r="BX91" s="47"/>
      <c r="BY91" s="47"/>
      <c r="BZ91" s="47"/>
      <c r="CA91" s="47"/>
      <c r="CB91" s="54">
        <f t="shared" si="44"/>
        <v>3580.9603999999999</v>
      </c>
    </row>
    <row r="92" spans="1:80" ht="14.25" customHeight="1">
      <c r="A92" s="47">
        <v>85</v>
      </c>
      <c r="B92" s="47" t="s">
        <v>129</v>
      </c>
      <c r="C92" s="48">
        <v>415001</v>
      </c>
      <c r="D92" s="49" t="s">
        <v>219</v>
      </c>
      <c r="E92" s="49" t="s">
        <v>150</v>
      </c>
      <c r="F92" s="50">
        <f t="shared" si="45"/>
        <v>76</v>
      </c>
      <c r="G92" s="50"/>
      <c r="H92" s="50"/>
      <c r="I92" s="50">
        <v>76</v>
      </c>
      <c r="J92" s="50"/>
      <c r="K92" s="50"/>
      <c r="L92" s="50"/>
      <c r="M92" s="50"/>
      <c r="N92" s="50">
        <v>29</v>
      </c>
      <c r="O92" s="50">
        <f t="shared" si="46"/>
        <v>105</v>
      </c>
      <c r="P92" s="51">
        <f t="shared" si="34"/>
        <v>805.80809999999997</v>
      </c>
      <c r="Q92" s="51">
        <f t="shared" si="35"/>
        <v>731.19209999999998</v>
      </c>
      <c r="R92" s="47">
        <f t="shared" si="47"/>
        <v>261718</v>
      </c>
      <c r="S92" s="58"/>
      <c r="T92" s="51">
        <v>261718</v>
      </c>
      <c r="U92" s="47">
        <v>314.06240000000003</v>
      </c>
      <c r="V92" s="51">
        <f t="shared" si="2"/>
        <v>0</v>
      </c>
      <c r="W92" s="47">
        <f t="shared" si="49"/>
        <v>0</v>
      </c>
      <c r="X92" s="47"/>
      <c r="Y92" s="47"/>
      <c r="Z92" s="47"/>
      <c r="AA92" s="47"/>
      <c r="AB92" s="51">
        <f t="shared" si="50"/>
        <v>0</v>
      </c>
      <c r="AC92" s="47">
        <f t="shared" si="51"/>
        <v>0</v>
      </c>
      <c r="AD92" s="47"/>
      <c r="AE92" s="47"/>
      <c r="AF92" s="47"/>
      <c r="AG92" s="47">
        <v>91200</v>
      </c>
      <c r="AH92" s="47"/>
      <c r="AI92" s="47">
        <v>195.286</v>
      </c>
      <c r="AJ92" s="53">
        <v>98.29</v>
      </c>
      <c r="AK92" s="53">
        <v>992318</v>
      </c>
      <c r="AL92" s="47"/>
      <c r="AM92" s="47">
        <v>43.254100000000001</v>
      </c>
      <c r="AN92" s="47">
        <v>40.722499999999997</v>
      </c>
      <c r="AO92" s="47">
        <v>410782</v>
      </c>
      <c r="AP92" s="47">
        <v>2.5316000000000001</v>
      </c>
      <c r="AQ92" s="47">
        <v>25538</v>
      </c>
      <c r="AR92" s="47"/>
      <c r="AS92" s="47">
        <v>6.5820999999999996</v>
      </c>
      <c r="AT92" s="47">
        <v>3.0379</v>
      </c>
      <c r="AU92" s="47">
        <v>30646</v>
      </c>
      <c r="AV92" s="47">
        <v>3.5442</v>
      </c>
      <c r="AW92" s="47">
        <v>35753</v>
      </c>
      <c r="AX92" s="47">
        <v>73.717500000000001</v>
      </c>
      <c r="AY92" s="47"/>
      <c r="AZ92" s="47"/>
      <c r="BA92" s="54">
        <v>1E-4</v>
      </c>
      <c r="BB92" s="55" t="s">
        <v>219</v>
      </c>
      <c r="BC92" s="51">
        <f t="shared" si="61"/>
        <v>72.959999999999994</v>
      </c>
      <c r="BD92" s="47">
        <f t="shared" si="32"/>
        <v>72.959999999999994</v>
      </c>
      <c r="BE92" s="47">
        <f t="shared" si="62"/>
        <v>0</v>
      </c>
      <c r="BF92" s="47"/>
      <c r="BG92" s="56"/>
      <c r="BH92" s="47"/>
      <c r="BI92" s="51">
        <f t="shared" si="42"/>
        <v>1.6559999999999999</v>
      </c>
      <c r="BJ92" s="51">
        <f t="shared" si="43"/>
        <v>0</v>
      </c>
      <c r="BK92" s="47"/>
      <c r="BL92" s="47"/>
      <c r="BM92" s="47"/>
      <c r="BN92" s="47"/>
      <c r="BO92" s="47"/>
      <c r="BP92" s="68">
        <v>1.6559999999999999</v>
      </c>
      <c r="BQ92" s="47"/>
      <c r="BR92" s="47"/>
      <c r="BS92" s="53"/>
      <c r="BT92" s="47"/>
      <c r="BU92" s="47"/>
      <c r="BV92" s="47"/>
      <c r="BW92" s="47"/>
      <c r="BX92" s="47"/>
      <c r="BY92" s="47"/>
      <c r="BZ92" s="47"/>
      <c r="CA92" s="47"/>
      <c r="CB92" s="54">
        <f t="shared" si="44"/>
        <v>805.80809999999997</v>
      </c>
    </row>
    <row r="93" spans="1:80" ht="14.25" customHeight="1">
      <c r="A93" s="47">
        <v>86</v>
      </c>
      <c r="B93" s="47" t="s">
        <v>129</v>
      </c>
      <c r="C93" s="48">
        <v>414001</v>
      </c>
      <c r="D93" s="49" t="s">
        <v>220</v>
      </c>
      <c r="E93" s="49" t="s">
        <v>150</v>
      </c>
      <c r="F93" s="50">
        <f t="shared" si="45"/>
        <v>103</v>
      </c>
      <c r="G93" s="50"/>
      <c r="H93" s="50"/>
      <c r="I93" s="50">
        <v>95</v>
      </c>
      <c r="J93" s="50">
        <v>8</v>
      </c>
      <c r="K93" s="50"/>
      <c r="L93" s="50"/>
      <c r="M93" s="50"/>
      <c r="N93" s="50">
        <v>20</v>
      </c>
      <c r="O93" s="50">
        <f t="shared" si="46"/>
        <v>123</v>
      </c>
      <c r="P93" s="51">
        <f t="shared" si="34"/>
        <v>1175.9209000000001</v>
      </c>
      <c r="Q93" s="51">
        <f t="shared" si="35"/>
        <v>1019.5249</v>
      </c>
      <c r="R93" s="47">
        <f t="shared" si="47"/>
        <v>369035</v>
      </c>
      <c r="S93" s="58"/>
      <c r="T93" s="51">
        <v>369035</v>
      </c>
      <c r="U93" s="47">
        <f t="shared" si="48"/>
        <v>442.84199999999998</v>
      </c>
      <c r="V93" s="51">
        <f t="shared" si="2"/>
        <v>0</v>
      </c>
      <c r="W93" s="47">
        <f t="shared" si="49"/>
        <v>0</v>
      </c>
      <c r="X93" s="47"/>
      <c r="Y93" s="47"/>
      <c r="Z93" s="47"/>
      <c r="AA93" s="47"/>
      <c r="AB93" s="51">
        <f t="shared" ref="AB93:AB156" si="63">SUM(AC93:AF93)</f>
        <v>0</v>
      </c>
      <c r="AC93" s="47">
        <f t="shared" si="51"/>
        <v>0</v>
      </c>
      <c r="AD93" s="47"/>
      <c r="AE93" s="47"/>
      <c r="AF93" s="47"/>
      <c r="AG93" s="47">
        <f>103*1200</f>
        <v>123600</v>
      </c>
      <c r="AH93" s="47"/>
      <c r="AI93" s="47">
        <f t="shared" si="53"/>
        <v>266.77</v>
      </c>
      <c r="AJ93" s="53">
        <v>137.26910000000001</v>
      </c>
      <c r="AK93" s="53">
        <v>1372691</v>
      </c>
      <c r="AL93" s="47"/>
      <c r="AM93" s="47">
        <v>60.466999999999999</v>
      </c>
      <c r="AN93" s="47">
        <v>56.918999999999997</v>
      </c>
      <c r="AO93" s="47">
        <v>569190</v>
      </c>
      <c r="AP93" s="47">
        <v>3.5480999999999998</v>
      </c>
      <c r="AQ93" s="47">
        <v>35481</v>
      </c>
      <c r="AR93" s="47"/>
      <c r="AS93" s="47">
        <v>9.2249999999999996</v>
      </c>
      <c r="AT93" s="47">
        <v>4.2576999999999998</v>
      </c>
      <c r="AU93" s="47">
        <v>42577</v>
      </c>
      <c r="AV93" s="47">
        <v>4.9672999999999998</v>
      </c>
      <c r="AW93" s="47">
        <v>49673</v>
      </c>
      <c r="AX93" s="47">
        <v>102.95180000000001</v>
      </c>
      <c r="AY93" s="47"/>
      <c r="AZ93" s="47"/>
      <c r="BA93" s="54">
        <v>1E-4</v>
      </c>
      <c r="BB93" s="55" t="s">
        <v>220</v>
      </c>
      <c r="BC93" s="51">
        <f t="shared" si="61"/>
        <v>155.88</v>
      </c>
      <c r="BD93" s="47">
        <f t="shared" si="32"/>
        <v>98.88</v>
      </c>
      <c r="BE93" s="47">
        <f t="shared" si="62"/>
        <v>0</v>
      </c>
      <c r="BF93" s="47"/>
      <c r="BG93" s="56">
        <v>57</v>
      </c>
      <c r="BH93" s="47"/>
      <c r="BI93" s="51">
        <f t="shared" si="42"/>
        <v>0.51600000000000001</v>
      </c>
      <c r="BJ93" s="51">
        <f t="shared" si="43"/>
        <v>0</v>
      </c>
      <c r="BK93" s="47"/>
      <c r="BL93" s="47"/>
      <c r="BM93" s="47"/>
      <c r="BN93" s="47"/>
      <c r="BO93" s="47"/>
      <c r="BP93" s="68">
        <v>0.51600000000000001</v>
      </c>
      <c r="BQ93" s="47"/>
      <c r="BR93" s="47"/>
      <c r="BS93" s="53"/>
      <c r="BT93" s="47"/>
      <c r="BU93" s="47"/>
      <c r="BV93" s="47"/>
      <c r="BW93" s="47"/>
      <c r="BX93" s="47"/>
      <c r="BY93" s="47"/>
      <c r="BZ93" s="47"/>
      <c r="CA93" s="47"/>
      <c r="CB93" s="54">
        <f t="shared" si="44"/>
        <v>1175.9209000000001</v>
      </c>
    </row>
    <row r="94" spans="1:80" ht="14.25" customHeight="1">
      <c r="A94" s="47">
        <v>87</v>
      </c>
      <c r="B94" s="47" t="s">
        <v>129</v>
      </c>
      <c r="C94" s="48">
        <v>407001</v>
      </c>
      <c r="D94" s="49" t="s">
        <v>221</v>
      </c>
      <c r="E94" s="49" t="s">
        <v>141</v>
      </c>
      <c r="F94" s="50">
        <f t="shared" si="45"/>
        <v>51</v>
      </c>
      <c r="G94" s="50">
        <v>9</v>
      </c>
      <c r="H94" s="50"/>
      <c r="I94" s="50">
        <v>15</v>
      </c>
      <c r="J94" s="50">
        <v>27</v>
      </c>
      <c r="K94" s="50"/>
      <c r="L94" s="50"/>
      <c r="M94" s="50"/>
      <c r="N94" s="50">
        <v>12</v>
      </c>
      <c r="O94" s="50">
        <f t="shared" si="46"/>
        <v>63</v>
      </c>
      <c r="P94" s="51">
        <f t="shared" si="34"/>
        <v>699.53159999999991</v>
      </c>
      <c r="Q94" s="51">
        <f t="shared" si="35"/>
        <v>524.41559999999993</v>
      </c>
      <c r="R94" s="47">
        <f t="shared" si="47"/>
        <v>149504</v>
      </c>
      <c r="S94" s="58">
        <v>29619</v>
      </c>
      <c r="T94" s="51">
        <v>119885</v>
      </c>
      <c r="U94" s="47">
        <f t="shared" si="48"/>
        <v>179.40479999999999</v>
      </c>
      <c r="V94" s="51">
        <f t="shared" si="2"/>
        <v>20.25</v>
      </c>
      <c r="W94" s="47">
        <f t="shared" si="49"/>
        <v>20.25</v>
      </c>
      <c r="X94" s="47"/>
      <c r="Y94" s="47"/>
      <c r="Z94" s="47"/>
      <c r="AA94" s="47"/>
      <c r="AB94" s="51">
        <f t="shared" si="63"/>
        <v>77.885099999999994</v>
      </c>
      <c r="AC94" s="47">
        <f t="shared" si="51"/>
        <v>2.9619</v>
      </c>
      <c r="AD94" s="47"/>
      <c r="AE94" s="47"/>
      <c r="AF94" s="47">
        <f t="shared" si="52"/>
        <v>74.923199999999994</v>
      </c>
      <c r="AG94" s="47">
        <v>62436</v>
      </c>
      <c r="AH94" s="47"/>
      <c r="AI94" s="47">
        <f t="shared" si="53"/>
        <v>108.78</v>
      </c>
      <c r="AJ94" s="53">
        <f t="shared" si="54"/>
        <v>61.811199999999999</v>
      </c>
      <c r="AK94" s="53">
        <f t="shared" si="55"/>
        <v>618112</v>
      </c>
      <c r="AL94" s="47"/>
      <c r="AM94" s="47">
        <f t="shared" si="36"/>
        <v>26.306999999999999</v>
      </c>
      <c r="AN94" s="47">
        <f t="shared" si="37"/>
        <v>24.764800000000001</v>
      </c>
      <c r="AO94" s="47">
        <f t="shared" si="56"/>
        <v>247648</v>
      </c>
      <c r="AP94" s="47">
        <f t="shared" si="38"/>
        <v>1.5422</v>
      </c>
      <c r="AQ94" s="47">
        <f t="shared" si="57"/>
        <v>15422</v>
      </c>
      <c r="AR94" s="47"/>
      <c r="AS94" s="47">
        <f t="shared" si="58"/>
        <v>3.6191</v>
      </c>
      <c r="AT94" s="47">
        <f t="shared" si="39"/>
        <v>1.8506</v>
      </c>
      <c r="AU94" s="47">
        <f t="shared" si="59"/>
        <v>18506</v>
      </c>
      <c r="AV94" s="47">
        <f t="shared" si="40"/>
        <v>1.7685</v>
      </c>
      <c r="AW94" s="47">
        <f t="shared" si="60"/>
        <v>17685</v>
      </c>
      <c r="AX94" s="47">
        <f t="shared" si="41"/>
        <v>46.358400000000003</v>
      </c>
      <c r="AY94" s="47"/>
      <c r="AZ94" s="47"/>
      <c r="BA94" s="54">
        <v>1E-4</v>
      </c>
      <c r="BB94" s="55" t="s">
        <v>221</v>
      </c>
      <c r="BC94" s="51">
        <f t="shared" si="61"/>
        <v>173.46</v>
      </c>
      <c r="BD94" s="47">
        <f t="shared" si="32"/>
        <v>51.12</v>
      </c>
      <c r="BE94" s="47">
        <f t="shared" si="62"/>
        <v>32.340000000000003</v>
      </c>
      <c r="BF94" s="47">
        <v>26950</v>
      </c>
      <c r="BG94" s="56">
        <v>81</v>
      </c>
      <c r="BH94" s="47">
        <v>9</v>
      </c>
      <c r="BI94" s="51">
        <f t="shared" si="42"/>
        <v>1.6559999999999999</v>
      </c>
      <c r="BJ94" s="51">
        <f t="shared" si="43"/>
        <v>0</v>
      </c>
      <c r="BK94" s="47"/>
      <c r="BL94" s="47"/>
      <c r="BM94" s="47"/>
      <c r="BN94" s="47"/>
      <c r="BO94" s="47"/>
      <c r="BP94" s="68">
        <v>1.6559999999999999</v>
      </c>
      <c r="BQ94" s="47"/>
      <c r="BR94" s="47"/>
      <c r="BS94" s="53"/>
      <c r="BT94" s="47"/>
      <c r="BU94" s="47"/>
      <c r="BV94" s="47"/>
      <c r="BW94" s="47"/>
      <c r="BX94" s="47"/>
      <c r="BY94" s="47"/>
      <c r="BZ94" s="47"/>
      <c r="CA94" s="47"/>
      <c r="CB94" s="54">
        <f t="shared" si="44"/>
        <v>699.53159999999991</v>
      </c>
    </row>
    <row r="95" spans="1:80" ht="14.25" customHeight="1">
      <c r="A95" s="47">
        <v>88</v>
      </c>
      <c r="B95" s="47" t="s">
        <v>129</v>
      </c>
      <c r="C95" s="48">
        <v>405001</v>
      </c>
      <c r="D95" s="49" t="s">
        <v>222</v>
      </c>
      <c r="E95" s="49" t="s">
        <v>143</v>
      </c>
      <c r="F95" s="50">
        <f t="shared" si="45"/>
        <v>8</v>
      </c>
      <c r="G95" s="50">
        <v>7</v>
      </c>
      <c r="H95" s="50">
        <v>1</v>
      </c>
      <c r="I95" s="50"/>
      <c r="J95" s="50"/>
      <c r="K95" s="50"/>
      <c r="L95" s="50"/>
      <c r="M95" s="50"/>
      <c r="N95" s="50"/>
      <c r="O95" s="50">
        <f t="shared" si="46"/>
        <v>8</v>
      </c>
      <c r="P95" s="51">
        <f t="shared" si="34"/>
        <v>211.2371</v>
      </c>
      <c r="Q95" s="51">
        <f t="shared" si="35"/>
        <v>93.589100000000002</v>
      </c>
      <c r="R95" s="47">
        <f t="shared" si="47"/>
        <v>29017</v>
      </c>
      <c r="S95" s="58">
        <v>29017</v>
      </c>
      <c r="T95" s="51"/>
      <c r="U95" s="47">
        <f t="shared" si="48"/>
        <v>34.820399999999999</v>
      </c>
      <c r="V95" s="51">
        <f t="shared" si="2"/>
        <v>18</v>
      </c>
      <c r="W95" s="47">
        <f t="shared" si="49"/>
        <v>18</v>
      </c>
      <c r="X95" s="47"/>
      <c r="Y95" s="47"/>
      <c r="Z95" s="47"/>
      <c r="AA95" s="47"/>
      <c r="AB95" s="51">
        <f t="shared" si="63"/>
        <v>16.540900000000001</v>
      </c>
      <c r="AC95" s="47">
        <f t="shared" si="51"/>
        <v>2.9016999999999999</v>
      </c>
      <c r="AD95" s="47"/>
      <c r="AE95" s="47"/>
      <c r="AF95" s="47">
        <f t="shared" si="52"/>
        <v>13.639200000000001</v>
      </c>
      <c r="AG95" s="47">
        <v>11366</v>
      </c>
      <c r="AH95" s="47"/>
      <c r="AI95" s="47">
        <f t="shared" si="53"/>
        <v>0</v>
      </c>
      <c r="AJ95" s="53">
        <f t="shared" si="54"/>
        <v>11.097799999999999</v>
      </c>
      <c r="AK95" s="53">
        <f t="shared" si="55"/>
        <v>110978</v>
      </c>
      <c r="AL95" s="47"/>
      <c r="AM95" s="47">
        <f t="shared" si="36"/>
        <v>4.4897</v>
      </c>
      <c r="AN95" s="47">
        <f t="shared" si="37"/>
        <v>4.2256</v>
      </c>
      <c r="AO95" s="47">
        <f t="shared" si="56"/>
        <v>42256</v>
      </c>
      <c r="AP95" s="47">
        <f t="shared" si="38"/>
        <v>0.2641</v>
      </c>
      <c r="AQ95" s="47">
        <f t="shared" si="57"/>
        <v>2641</v>
      </c>
      <c r="AR95" s="47"/>
      <c r="AS95" s="47">
        <f t="shared" si="58"/>
        <v>0.31690000000000002</v>
      </c>
      <c r="AT95" s="47">
        <f t="shared" si="39"/>
        <v>0.31690000000000002</v>
      </c>
      <c r="AU95" s="47">
        <f t="shared" si="59"/>
        <v>3169</v>
      </c>
      <c r="AV95" s="47">
        <f t="shared" si="40"/>
        <v>0</v>
      </c>
      <c r="AW95" s="47">
        <f t="shared" si="60"/>
        <v>0</v>
      </c>
      <c r="AX95" s="47">
        <f t="shared" si="41"/>
        <v>8.3233999999999995</v>
      </c>
      <c r="AY95" s="47"/>
      <c r="AZ95" s="47"/>
      <c r="BA95" s="54">
        <v>1E-4</v>
      </c>
      <c r="BB95" s="55" t="s">
        <v>222</v>
      </c>
      <c r="BC95" s="51">
        <f t="shared" si="61"/>
        <v>57.647999999999996</v>
      </c>
      <c r="BD95" s="47">
        <f t="shared" si="32"/>
        <v>9.6</v>
      </c>
      <c r="BE95" s="47">
        <f t="shared" si="62"/>
        <v>6.048</v>
      </c>
      <c r="BF95" s="47">
        <v>5040</v>
      </c>
      <c r="BG95" s="56">
        <v>42</v>
      </c>
      <c r="BH95" s="47"/>
      <c r="BI95" s="51">
        <f t="shared" si="42"/>
        <v>60</v>
      </c>
      <c r="BJ95" s="51">
        <f t="shared" si="43"/>
        <v>0</v>
      </c>
      <c r="BK95" s="47"/>
      <c r="BL95" s="47"/>
      <c r="BM95" s="47"/>
      <c r="BN95" s="47"/>
      <c r="BO95" s="47"/>
      <c r="BP95" s="47"/>
      <c r="BQ95" s="47"/>
      <c r="BR95" s="47"/>
      <c r="BS95" s="53"/>
      <c r="BT95" s="47"/>
      <c r="BU95" s="47"/>
      <c r="BV95" s="47"/>
      <c r="BW95" s="68">
        <v>60</v>
      </c>
      <c r="BX95" s="47"/>
      <c r="BY95" s="47"/>
      <c r="BZ95" s="47"/>
      <c r="CA95" s="47"/>
      <c r="CB95" s="54">
        <f t="shared" si="44"/>
        <v>211.2371</v>
      </c>
    </row>
    <row r="96" spans="1:80" ht="14.25" customHeight="1">
      <c r="A96" s="47">
        <v>89</v>
      </c>
      <c r="B96" s="47" t="s">
        <v>129</v>
      </c>
      <c r="C96" s="48">
        <v>501001</v>
      </c>
      <c r="D96" s="49" t="s">
        <v>223</v>
      </c>
      <c r="E96" s="49" t="s">
        <v>131</v>
      </c>
      <c r="F96" s="50">
        <f t="shared" si="45"/>
        <v>103</v>
      </c>
      <c r="G96" s="50">
        <v>37</v>
      </c>
      <c r="H96" s="50">
        <v>4</v>
      </c>
      <c r="I96" s="50">
        <f>66-4</f>
        <v>62</v>
      </c>
      <c r="J96" s="50"/>
      <c r="K96" s="50"/>
      <c r="L96" s="50"/>
      <c r="M96" s="50"/>
      <c r="N96" s="50">
        <v>77</v>
      </c>
      <c r="O96" s="50">
        <f t="shared" si="46"/>
        <v>180</v>
      </c>
      <c r="P96" s="51">
        <f t="shared" si="34"/>
        <v>1760.9323999999999</v>
      </c>
      <c r="Q96" s="51">
        <f t="shared" si="35"/>
        <v>1375.5444</v>
      </c>
      <c r="R96" s="47">
        <f t="shared" si="47"/>
        <v>397954</v>
      </c>
      <c r="S96" s="58">
        <v>177761</v>
      </c>
      <c r="T96" s="51">
        <v>220193</v>
      </c>
      <c r="U96" s="47">
        <f t="shared" si="48"/>
        <v>477.54480000000001</v>
      </c>
      <c r="V96" s="51">
        <f t="shared" si="2"/>
        <v>231.25</v>
      </c>
      <c r="W96" s="47">
        <f t="shared" si="49"/>
        <v>92.25</v>
      </c>
      <c r="X96" s="47"/>
      <c r="Y96" s="47"/>
      <c r="Z96" s="47"/>
      <c r="AA96" s="47">
        <v>139</v>
      </c>
      <c r="AB96" s="51">
        <f t="shared" si="63"/>
        <v>180.97609999999997</v>
      </c>
      <c r="AC96" s="47">
        <f t="shared" si="51"/>
        <v>17.7761</v>
      </c>
      <c r="AD96" s="47"/>
      <c r="AE96" s="47"/>
      <c r="AF96" s="47">
        <f t="shared" si="52"/>
        <v>163.19999999999999</v>
      </c>
      <c r="AG96" s="47">
        <v>136000</v>
      </c>
      <c r="AH96" s="47"/>
      <c r="AI96" s="47">
        <f t="shared" si="53"/>
        <v>160.58000000000001</v>
      </c>
      <c r="AJ96" s="53">
        <f t="shared" si="54"/>
        <v>145.81610000000001</v>
      </c>
      <c r="AK96" s="53">
        <f t="shared" si="55"/>
        <v>1458161</v>
      </c>
      <c r="AL96" s="47"/>
      <c r="AM96" s="47">
        <f t="shared" si="36"/>
        <v>62.659399999999998</v>
      </c>
      <c r="AN96" s="47">
        <f t="shared" si="37"/>
        <v>59.0075</v>
      </c>
      <c r="AO96" s="47">
        <f t="shared" si="56"/>
        <v>590075</v>
      </c>
      <c r="AP96" s="47">
        <f t="shared" si="38"/>
        <v>3.6518999999999999</v>
      </c>
      <c r="AQ96" s="47">
        <f t="shared" si="57"/>
        <v>36519</v>
      </c>
      <c r="AR96" s="47"/>
      <c r="AS96" s="47">
        <f t="shared" si="58"/>
        <v>7.3559000000000001</v>
      </c>
      <c r="AT96" s="47">
        <f t="shared" si="39"/>
        <v>4.3822000000000001</v>
      </c>
      <c r="AU96" s="47">
        <f t="shared" si="59"/>
        <v>43822</v>
      </c>
      <c r="AV96" s="47">
        <f t="shared" si="40"/>
        <v>2.9737</v>
      </c>
      <c r="AW96" s="47">
        <f t="shared" si="60"/>
        <v>29737</v>
      </c>
      <c r="AX96" s="47">
        <f t="shared" si="41"/>
        <v>109.3621</v>
      </c>
      <c r="AY96" s="47"/>
      <c r="AZ96" s="67"/>
      <c r="BA96" s="54">
        <v>1E-4</v>
      </c>
      <c r="BB96" s="55" t="s">
        <v>223</v>
      </c>
      <c r="BC96" s="51">
        <f t="shared" si="61"/>
        <v>354.07600000000002</v>
      </c>
      <c r="BD96" s="47">
        <f t="shared" si="32"/>
        <v>108.72</v>
      </c>
      <c r="BE96" s="47">
        <f t="shared" si="62"/>
        <v>31.356000000000002</v>
      </c>
      <c r="BF96" s="47">
        <v>26130</v>
      </c>
      <c r="BG96" s="56">
        <v>214</v>
      </c>
      <c r="BH96" s="47"/>
      <c r="BI96" s="51">
        <f t="shared" si="42"/>
        <v>31.312000000000001</v>
      </c>
      <c r="BJ96" s="51">
        <f t="shared" si="43"/>
        <v>0</v>
      </c>
      <c r="BK96" s="47"/>
      <c r="BL96" s="47"/>
      <c r="BM96" s="47"/>
      <c r="BN96" s="47"/>
      <c r="BO96" s="47"/>
      <c r="BP96" s="68">
        <v>3.3119999999999998</v>
      </c>
      <c r="BQ96" s="47"/>
      <c r="BR96" s="47"/>
      <c r="BS96" s="53"/>
      <c r="BT96" s="47"/>
      <c r="BU96" s="47"/>
      <c r="BV96" s="47"/>
      <c r="BW96" s="47">
        <v>28</v>
      </c>
      <c r="BX96" s="47"/>
      <c r="BY96" s="47"/>
      <c r="BZ96" s="47"/>
      <c r="CA96" s="47"/>
      <c r="CB96" s="54">
        <f t="shared" si="44"/>
        <v>1760.9323999999999</v>
      </c>
    </row>
    <row r="97" spans="1:80" ht="14.25" customHeight="1">
      <c r="A97" s="47">
        <v>90</v>
      </c>
      <c r="B97" s="47" t="s">
        <v>129</v>
      </c>
      <c r="C97" s="48">
        <v>501003</v>
      </c>
      <c r="D97" s="49" t="s">
        <v>224</v>
      </c>
      <c r="E97" s="49" t="s">
        <v>141</v>
      </c>
      <c r="F97" s="50">
        <f t="shared" si="45"/>
        <v>55</v>
      </c>
      <c r="G97" s="50">
        <v>7</v>
      </c>
      <c r="H97" s="50">
        <v>5</v>
      </c>
      <c r="I97" s="50">
        <v>29</v>
      </c>
      <c r="J97" s="50">
        <v>14</v>
      </c>
      <c r="K97" s="50"/>
      <c r="L97" s="50"/>
      <c r="M97" s="50"/>
      <c r="N97" s="50">
        <v>26</v>
      </c>
      <c r="O97" s="50">
        <f t="shared" si="46"/>
        <v>81</v>
      </c>
      <c r="P97" s="51">
        <f t="shared" si="34"/>
        <v>875.81050000000005</v>
      </c>
      <c r="Q97" s="51">
        <f t="shared" si="35"/>
        <v>665.97050000000002</v>
      </c>
      <c r="R97" s="47">
        <f t="shared" si="47"/>
        <v>194053</v>
      </c>
      <c r="S97" s="58">
        <v>46540</v>
      </c>
      <c r="T97" s="51">
        <v>147513</v>
      </c>
      <c r="U97" s="47">
        <f t="shared" si="48"/>
        <v>232.86359999999999</v>
      </c>
      <c r="V97" s="51">
        <f t="shared" si="2"/>
        <v>66.66</v>
      </c>
      <c r="W97" s="47">
        <f t="shared" si="49"/>
        <v>27</v>
      </c>
      <c r="X97" s="67">
        <v>20.52</v>
      </c>
      <c r="Y97" s="47"/>
      <c r="Z97" s="47"/>
      <c r="AA97" s="67">
        <v>19.14</v>
      </c>
      <c r="AB97" s="51">
        <f t="shared" si="63"/>
        <v>90.975999999999999</v>
      </c>
      <c r="AC97" s="47">
        <f t="shared" si="51"/>
        <v>4.6539999999999999</v>
      </c>
      <c r="AD97" s="47">
        <v>4.6920000000000002</v>
      </c>
      <c r="AE97" s="47"/>
      <c r="AF97" s="47">
        <f t="shared" si="52"/>
        <v>81.63</v>
      </c>
      <c r="AG97" s="47">
        <v>68025</v>
      </c>
      <c r="AH97" s="47"/>
      <c r="AI97" s="47">
        <f t="shared" si="53"/>
        <v>111.37</v>
      </c>
      <c r="AJ97" s="53">
        <f t="shared" si="54"/>
        <v>73.202799999999996</v>
      </c>
      <c r="AK97" s="53">
        <f t="shared" si="55"/>
        <v>732028</v>
      </c>
      <c r="AL97" s="47"/>
      <c r="AM97" s="47">
        <f t="shared" si="36"/>
        <v>31.7499</v>
      </c>
      <c r="AN97" s="47">
        <f t="shared" si="37"/>
        <v>29.893699999999999</v>
      </c>
      <c r="AO97" s="47">
        <f t="shared" si="56"/>
        <v>298937</v>
      </c>
      <c r="AP97" s="47">
        <f t="shared" si="38"/>
        <v>1.8562000000000001</v>
      </c>
      <c r="AQ97" s="47">
        <f t="shared" si="57"/>
        <v>18562</v>
      </c>
      <c r="AR97" s="47"/>
      <c r="AS97" s="47">
        <f t="shared" si="58"/>
        <v>4.2461000000000002</v>
      </c>
      <c r="AT97" s="47">
        <f t="shared" si="39"/>
        <v>2.2273999999999998</v>
      </c>
      <c r="AU97" s="47">
        <f t="shared" si="59"/>
        <v>22274</v>
      </c>
      <c r="AV97" s="47">
        <f t="shared" si="40"/>
        <v>2.0186999999999999</v>
      </c>
      <c r="AW97" s="47">
        <f t="shared" si="60"/>
        <v>20187</v>
      </c>
      <c r="AX97" s="47">
        <f t="shared" si="41"/>
        <v>54.902099999999997</v>
      </c>
      <c r="AY97" s="47"/>
      <c r="AZ97" s="67"/>
      <c r="BA97" s="54">
        <v>1E-4</v>
      </c>
      <c r="BB97" s="55" t="s">
        <v>224</v>
      </c>
      <c r="BC97" s="51">
        <f t="shared" si="61"/>
        <v>199.84</v>
      </c>
      <c r="BD97" s="47">
        <f t="shared" ref="BD97:BD123" si="64">1.2*(G97+H97)+0.96*(I97+J97)</f>
        <v>55.68</v>
      </c>
      <c r="BE97" s="47">
        <f t="shared" si="62"/>
        <v>8.16</v>
      </c>
      <c r="BF97" s="47">
        <v>6800</v>
      </c>
      <c r="BG97" s="56">
        <v>136</v>
      </c>
      <c r="BH97" s="47"/>
      <c r="BI97" s="51">
        <f t="shared" si="42"/>
        <v>10</v>
      </c>
      <c r="BJ97" s="51">
        <f t="shared" si="43"/>
        <v>0</v>
      </c>
      <c r="BK97" s="47"/>
      <c r="BL97" s="47"/>
      <c r="BM97" s="47"/>
      <c r="BN97" s="47"/>
      <c r="BO97" s="47"/>
      <c r="BP97" s="47"/>
      <c r="BQ97" s="47"/>
      <c r="BR97" s="47"/>
      <c r="BS97" s="53"/>
      <c r="BT97" s="47"/>
      <c r="BU97" s="47"/>
      <c r="BV97" s="47"/>
      <c r="BW97" s="47">
        <v>10</v>
      </c>
      <c r="BX97" s="47"/>
      <c r="BY97" s="47"/>
      <c r="BZ97" s="47"/>
      <c r="CA97" s="47"/>
      <c r="CB97" s="54">
        <f t="shared" si="44"/>
        <v>875.81050000000005</v>
      </c>
    </row>
    <row r="98" spans="1:80" ht="14.25" customHeight="1">
      <c r="A98" s="47">
        <v>91</v>
      </c>
      <c r="B98" s="47" t="s">
        <v>129</v>
      </c>
      <c r="C98" s="48">
        <v>501002</v>
      </c>
      <c r="D98" s="49" t="s">
        <v>225</v>
      </c>
      <c r="E98" s="49" t="s">
        <v>141</v>
      </c>
      <c r="F98" s="50">
        <f t="shared" si="45"/>
        <v>33</v>
      </c>
      <c r="G98" s="50">
        <v>5</v>
      </c>
      <c r="H98" s="50">
        <v>2</v>
      </c>
      <c r="I98" s="50">
        <v>26</v>
      </c>
      <c r="J98" s="50"/>
      <c r="K98" s="50"/>
      <c r="L98" s="50"/>
      <c r="M98" s="50"/>
      <c r="N98" s="50">
        <v>23</v>
      </c>
      <c r="O98" s="50">
        <f t="shared" si="46"/>
        <v>56</v>
      </c>
      <c r="P98" s="51">
        <f t="shared" si="34"/>
        <v>493.15069999999997</v>
      </c>
      <c r="Q98" s="51">
        <f t="shared" si="35"/>
        <v>386.84269999999998</v>
      </c>
      <c r="R98" s="47">
        <f t="shared" si="47"/>
        <v>124342</v>
      </c>
      <c r="S98" s="58">
        <v>29979</v>
      </c>
      <c r="T98" s="51">
        <v>94363</v>
      </c>
      <c r="U98" s="47">
        <f t="shared" si="48"/>
        <v>149.21039999999999</v>
      </c>
      <c r="V98" s="51">
        <f t="shared" si="2"/>
        <v>15.75</v>
      </c>
      <c r="W98" s="47">
        <f t="shared" si="49"/>
        <v>15.75</v>
      </c>
      <c r="X98" s="47"/>
      <c r="Y98" s="47"/>
      <c r="Z98" s="47"/>
      <c r="AA98" s="47"/>
      <c r="AB98" s="51">
        <f t="shared" si="63"/>
        <v>52.283100000000005</v>
      </c>
      <c r="AC98" s="47">
        <f t="shared" si="51"/>
        <v>2.9979</v>
      </c>
      <c r="AD98" s="47"/>
      <c r="AE98" s="47"/>
      <c r="AF98" s="47">
        <f t="shared" si="52"/>
        <v>49.285200000000003</v>
      </c>
      <c r="AG98" s="47">
        <v>41071</v>
      </c>
      <c r="AH98" s="47"/>
      <c r="AI98" s="47">
        <f t="shared" si="53"/>
        <v>67.34</v>
      </c>
      <c r="AJ98" s="53">
        <f t="shared" si="54"/>
        <v>45.5334</v>
      </c>
      <c r="AK98" s="53">
        <f t="shared" si="55"/>
        <v>455334</v>
      </c>
      <c r="AL98" s="47"/>
      <c r="AM98" s="47">
        <f t="shared" si="36"/>
        <v>19.917999999999999</v>
      </c>
      <c r="AN98" s="47">
        <f t="shared" si="37"/>
        <v>18.756499999999999</v>
      </c>
      <c r="AO98" s="47">
        <f t="shared" si="56"/>
        <v>187565</v>
      </c>
      <c r="AP98" s="47">
        <f t="shared" si="38"/>
        <v>1.1615</v>
      </c>
      <c r="AQ98" s="47">
        <f t="shared" si="57"/>
        <v>11615</v>
      </c>
      <c r="AR98" s="47"/>
      <c r="AS98" s="47">
        <f t="shared" si="58"/>
        <v>2.6577999999999999</v>
      </c>
      <c r="AT98" s="47">
        <f t="shared" si="39"/>
        <v>1.3937999999999999</v>
      </c>
      <c r="AU98" s="47">
        <f t="shared" si="59"/>
        <v>13938</v>
      </c>
      <c r="AV98" s="47">
        <f t="shared" si="40"/>
        <v>1.264</v>
      </c>
      <c r="AW98" s="47">
        <f t="shared" si="60"/>
        <v>12640</v>
      </c>
      <c r="AX98" s="47">
        <f t="shared" si="41"/>
        <v>34.15</v>
      </c>
      <c r="AY98" s="47"/>
      <c r="AZ98" s="47"/>
      <c r="BA98" s="54">
        <v>1E-4</v>
      </c>
      <c r="BB98" s="55" t="s">
        <v>225</v>
      </c>
      <c r="BC98" s="51">
        <f t="shared" si="61"/>
        <v>101.34</v>
      </c>
      <c r="BD98" s="47">
        <f t="shared" si="64"/>
        <v>33.36</v>
      </c>
      <c r="BE98" s="47">
        <f t="shared" si="62"/>
        <v>4.9800000000000004</v>
      </c>
      <c r="BF98" s="47">
        <v>4150</v>
      </c>
      <c r="BG98" s="56">
        <v>63</v>
      </c>
      <c r="BH98" s="47"/>
      <c r="BI98" s="51">
        <f t="shared" si="42"/>
        <v>4.968</v>
      </c>
      <c r="BJ98" s="51">
        <f t="shared" si="43"/>
        <v>0</v>
      </c>
      <c r="BK98" s="47"/>
      <c r="BL98" s="47"/>
      <c r="BM98" s="47"/>
      <c r="BN98" s="47"/>
      <c r="BO98" s="47"/>
      <c r="BP98" s="68">
        <v>4.968</v>
      </c>
      <c r="BQ98" s="47"/>
      <c r="BR98" s="47"/>
      <c r="BS98" s="53"/>
      <c r="BT98" s="47"/>
      <c r="BU98" s="47"/>
      <c r="BV98" s="47"/>
      <c r="BW98" s="47"/>
      <c r="BX98" s="47"/>
      <c r="BY98" s="47"/>
      <c r="BZ98" s="47"/>
      <c r="CA98" s="47"/>
      <c r="CB98" s="54">
        <f t="shared" si="44"/>
        <v>493.15069999999997</v>
      </c>
    </row>
    <row r="99" spans="1:80" ht="14.25" customHeight="1">
      <c r="A99" s="47">
        <v>92</v>
      </c>
      <c r="B99" s="47" t="s">
        <v>129</v>
      </c>
      <c r="C99" s="48">
        <v>501005</v>
      </c>
      <c r="D99" s="49" t="s">
        <v>226</v>
      </c>
      <c r="E99" s="49" t="s">
        <v>141</v>
      </c>
      <c r="F99" s="50">
        <f t="shared" si="45"/>
        <v>14</v>
      </c>
      <c r="G99" s="50">
        <v>14</v>
      </c>
      <c r="H99" s="50"/>
      <c r="I99" s="50"/>
      <c r="J99" s="50"/>
      <c r="K99" s="50"/>
      <c r="L99" s="50"/>
      <c r="M99" s="50"/>
      <c r="N99" s="50">
        <v>8</v>
      </c>
      <c r="O99" s="50">
        <f t="shared" si="46"/>
        <v>22</v>
      </c>
      <c r="P99" s="51">
        <f t="shared" si="34"/>
        <v>255.92140000000001</v>
      </c>
      <c r="Q99" s="51">
        <f t="shared" si="35"/>
        <v>166.45340000000002</v>
      </c>
      <c r="R99" s="47">
        <f t="shared" si="47"/>
        <v>51680</v>
      </c>
      <c r="S99" s="58">
        <v>51680</v>
      </c>
      <c r="T99" s="51"/>
      <c r="U99" s="47">
        <f t="shared" si="48"/>
        <v>62.015999999999998</v>
      </c>
      <c r="V99" s="51">
        <f t="shared" si="2"/>
        <v>31.5</v>
      </c>
      <c r="W99" s="47">
        <f t="shared" si="49"/>
        <v>31.5</v>
      </c>
      <c r="X99" s="47"/>
      <c r="Y99" s="47"/>
      <c r="Z99" s="47"/>
      <c r="AA99" s="47"/>
      <c r="AB99" s="51">
        <f t="shared" si="63"/>
        <v>29.830400000000001</v>
      </c>
      <c r="AC99" s="47">
        <f t="shared" si="51"/>
        <v>5.1680000000000001</v>
      </c>
      <c r="AD99" s="47"/>
      <c r="AE99" s="47"/>
      <c r="AF99" s="47">
        <f t="shared" si="52"/>
        <v>24.662400000000002</v>
      </c>
      <c r="AG99" s="47">
        <v>20552</v>
      </c>
      <c r="AH99" s="47"/>
      <c r="AI99" s="47">
        <f t="shared" si="53"/>
        <v>0</v>
      </c>
      <c r="AJ99" s="53">
        <f t="shared" si="54"/>
        <v>19.735399999999998</v>
      </c>
      <c r="AK99" s="53">
        <f t="shared" si="55"/>
        <v>197353.99999999997</v>
      </c>
      <c r="AL99" s="47"/>
      <c r="AM99" s="47">
        <f t="shared" si="36"/>
        <v>8.0089000000000006</v>
      </c>
      <c r="AN99" s="47">
        <f t="shared" si="37"/>
        <v>7.5412999999999997</v>
      </c>
      <c r="AO99" s="47">
        <f t="shared" si="56"/>
        <v>75413</v>
      </c>
      <c r="AP99" s="47">
        <f t="shared" si="38"/>
        <v>0.46760000000000002</v>
      </c>
      <c r="AQ99" s="47">
        <f t="shared" si="57"/>
        <v>4676</v>
      </c>
      <c r="AR99" s="47"/>
      <c r="AS99" s="47">
        <f t="shared" si="58"/>
        <v>0.56110000000000004</v>
      </c>
      <c r="AT99" s="47">
        <f t="shared" si="39"/>
        <v>0.56110000000000004</v>
      </c>
      <c r="AU99" s="47">
        <f t="shared" si="59"/>
        <v>5611</v>
      </c>
      <c r="AV99" s="47">
        <f t="shared" si="40"/>
        <v>0</v>
      </c>
      <c r="AW99" s="47">
        <f t="shared" si="60"/>
        <v>0</v>
      </c>
      <c r="AX99" s="47">
        <f t="shared" si="41"/>
        <v>14.801600000000001</v>
      </c>
      <c r="AY99" s="47"/>
      <c r="AZ99" s="47"/>
      <c r="BA99" s="54">
        <v>1E-4</v>
      </c>
      <c r="BB99" s="55" t="s">
        <v>226</v>
      </c>
      <c r="BC99" s="51">
        <f t="shared" si="61"/>
        <v>89.468000000000004</v>
      </c>
      <c r="BD99" s="47">
        <f t="shared" si="64"/>
        <v>16.8</v>
      </c>
      <c r="BE99" s="47">
        <f t="shared" si="62"/>
        <v>10.667999999999999</v>
      </c>
      <c r="BF99" s="47">
        <v>8890</v>
      </c>
      <c r="BG99" s="56">
        <v>62</v>
      </c>
      <c r="BH99" s="47"/>
      <c r="BI99" s="51">
        <f t="shared" si="42"/>
        <v>0</v>
      </c>
      <c r="BJ99" s="51">
        <f t="shared" si="43"/>
        <v>0</v>
      </c>
      <c r="BK99" s="47"/>
      <c r="BL99" s="47"/>
      <c r="BM99" s="47"/>
      <c r="BN99" s="47"/>
      <c r="BO99" s="47"/>
      <c r="BP99" s="47"/>
      <c r="BQ99" s="47"/>
      <c r="BR99" s="47"/>
      <c r="BS99" s="53"/>
      <c r="BT99" s="47"/>
      <c r="BU99" s="47"/>
      <c r="BV99" s="47"/>
      <c r="BW99" s="47"/>
      <c r="BX99" s="47"/>
      <c r="BY99" s="47"/>
      <c r="BZ99" s="47"/>
      <c r="CA99" s="47"/>
      <c r="CB99" s="54">
        <f t="shared" si="44"/>
        <v>255.92140000000001</v>
      </c>
    </row>
    <row r="100" spans="1:80" ht="14.25" customHeight="1">
      <c r="A100" s="47">
        <v>93</v>
      </c>
      <c r="B100" s="47" t="s">
        <v>129</v>
      </c>
      <c r="C100" s="48">
        <v>501006</v>
      </c>
      <c r="D100" s="49" t="s">
        <v>227</v>
      </c>
      <c r="E100" s="49" t="s">
        <v>150</v>
      </c>
      <c r="F100" s="50">
        <f t="shared" si="45"/>
        <v>18</v>
      </c>
      <c r="G100" s="50">
        <v>3</v>
      </c>
      <c r="H100" s="50"/>
      <c r="I100" s="50">
        <f>11+4</f>
        <v>15</v>
      </c>
      <c r="J100" s="50"/>
      <c r="K100" s="50"/>
      <c r="L100" s="50"/>
      <c r="M100" s="50"/>
      <c r="N100" s="50"/>
      <c r="O100" s="50">
        <f t="shared" si="46"/>
        <v>18</v>
      </c>
      <c r="P100" s="51">
        <f t="shared" si="34"/>
        <v>280.45579999999995</v>
      </c>
      <c r="Q100" s="51">
        <f t="shared" si="35"/>
        <v>207.29579999999999</v>
      </c>
      <c r="R100" s="47">
        <f t="shared" si="47"/>
        <v>65927</v>
      </c>
      <c r="S100" s="58">
        <v>10172</v>
      </c>
      <c r="T100" s="51">
        <v>55755</v>
      </c>
      <c r="U100" s="47">
        <f t="shared" si="48"/>
        <v>79.112399999999994</v>
      </c>
      <c r="V100" s="51">
        <f t="shared" si="2"/>
        <v>6.75</v>
      </c>
      <c r="W100" s="47">
        <f t="shared" si="49"/>
        <v>6.75</v>
      </c>
      <c r="X100" s="47"/>
      <c r="Y100" s="47"/>
      <c r="Z100" s="47"/>
      <c r="AA100" s="47"/>
      <c r="AB100" s="51">
        <f t="shared" si="63"/>
        <v>27.7928</v>
      </c>
      <c r="AC100" s="47">
        <f t="shared" si="51"/>
        <v>1.0172000000000001</v>
      </c>
      <c r="AD100" s="47"/>
      <c r="AE100" s="47"/>
      <c r="AF100" s="47">
        <f t="shared" si="52"/>
        <v>26.775600000000001</v>
      </c>
      <c r="AG100" s="47">
        <v>22313</v>
      </c>
      <c r="AH100" s="47"/>
      <c r="AI100" s="47">
        <f t="shared" si="53"/>
        <v>38.85</v>
      </c>
      <c r="AJ100" s="53">
        <f t="shared" si="54"/>
        <v>24.4008</v>
      </c>
      <c r="AK100" s="53">
        <f t="shared" si="55"/>
        <v>244008</v>
      </c>
      <c r="AL100" s="47"/>
      <c r="AM100" s="47">
        <f t="shared" si="36"/>
        <v>10.6006</v>
      </c>
      <c r="AN100" s="47">
        <f t="shared" si="37"/>
        <v>9.9770000000000003</v>
      </c>
      <c r="AO100" s="47">
        <f t="shared" si="56"/>
        <v>99770</v>
      </c>
      <c r="AP100" s="47">
        <f t="shared" si="38"/>
        <v>0.62360000000000004</v>
      </c>
      <c r="AQ100" s="47">
        <f t="shared" si="57"/>
        <v>6236</v>
      </c>
      <c r="AR100" s="47"/>
      <c r="AS100" s="47">
        <f t="shared" si="58"/>
        <v>1.4885999999999999</v>
      </c>
      <c r="AT100" s="47">
        <f t="shared" si="39"/>
        <v>0.74829999999999997</v>
      </c>
      <c r="AU100" s="47">
        <f t="shared" si="59"/>
        <v>7483</v>
      </c>
      <c r="AV100" s="47">
        <f t="shared" si="40"/>
        <v>0.74029999999999996</v>
      </c>
      <c r="AW100" s="47">
        <f t="shared" si="60"/>
        <v>7403</v>
      </c>
      <c r="AX100" s="47">
        <f t="shared" si="41"/>
        <v>18.300599999999999</v>
      </c>
      <c r="AY100" s="47"/>
      <c r="AZ100" s="47"/>
      <c r="BA100" s="54">
        <v>1E-4</v>
      </c>
      <c r="BB100" s="55" t="s">
        <v>227</v>
      </c>
      <c r="BC100" s="51">
        <f t="shared" si="61"/>
        <v>73.16</v>
      </c>
      <c r="BD100" s="47">
        <f t="shared" si="64"/>
        <v>18</v>
      </c>
      <c r="BE100" s="47">
        <f t="shared" si="62"/>
        <v>2.16</v>
      </c>
      <c r="BF100" s="47">
        <v>1800</v>
      </c>
      <c r="BG100" s="56">
        <v>50</v>
      </c>
      <c r="BH100" s="47">
        <v>3</v>
      </c>
      <c r="BI100" s="51">
        <f t="shared" si="42"/>
        <v>0</v>
      </c>
      <c r="BJ100" s="51">
        <f t="shared" si="43"/>
        <v>0</v>
      </c>
      <c r="BK100" s="47"/>
      <c r="BL100" s="47"/>
      <c r="BM100" s="47"/>
      <c r="BN100" s="47"/>
      <c r="BO100" s="47"/>
      <c r="BP100" s="47"/>
      <c r="BQ100" s="47"/>
      <c r="BR100" s="47"/>
      <c r="BS100" s="53"/>
      <c r="BT100" s="47"/>
      <c r="BU100" s="47"/>
      <c r="BV100" s="47"/>
      <c r="BW100" s="47"/>
      <c r="BX100" s="47"/>
      <c r="BY100" s="47"/>
      <c r="BZ100" s="47"/>
      <c r="CA100" s="47"/>
      <c r="CB100" s="54">
        <f t="shared" si="44"/>
        <v>280.45579999999995</v>
      </c>
    </row>
    <row r="101" spans="1:80" ht="14.25" customHeight="1">
      <c r="A101" s="47">
        <v>94</v>
      </c>
      <c r="B101" s="47" t="s">
        <v>129</v>
      </c>
      <c r="C101" s="48">
        <v>504001</v>
      </c>
      <c r="D101" s="49" t="s">
        <v>228</v>
      </c>
      <c r="E101" s="49" t="s">
        <v>131</v>
      </c>
      <c r="F101" s="50">
        <f t="shared" si="45"/>
        <v>15</v>
      </c>
      <c r="G101" s="50">
        <v>10</v>
      </c>
      <c r="H101" s="50"/>
      <c r="I101" s="50">
        <v>5</v>
      </c>
      <c r="J101" s="50"/>
      <c r="K101" s="50"/>
      <c r="L101" s="50"/>
      <c r="M101" s="50"/>
      <c r="N101" s="50"/>
      <c r="O101" s="50">
        <f t="shared" si="46"/>
        <v>15</v>
      </c>
      <c r="P101" s="51">
        <f t="shared" si="34"/>
        <v>291.75890000000004</v>
      </c>
      <c r="Q101" s="51">
        <f t="shared" si="35"/>
        <v>174.17090000000002</v>
      </c>
      <c r="R101" s="47">
        <f t="shared" si="47"/>
        <v>53737</v>
      </c>
      <c r="S101" s="58">
        <v>38431</v>
      </c>
      <c r="T101" s="51">
        <v>15306</v>
      </c>
      <c r="U101" s="47">
        <f t="shared" si="48"/>
        <v>64.484399999999994</v>
      </c>
      <c r="V101" s="51">
        <f t="shared" si="2"/>
        <v>22.5</v>
      </c>
      <c r="W101" s="47">
        <f t="shared" si="49"/>
        <v>22.5</v>
      </c>
      <c r="X101" s="47"/>
      <c r="Y101" s="47"/>
      <c r="Z101" s="47"/>
      <c r="AA101" s="47"/>
      <c r="AB101" s="51">
        <f t="shared" si="63"/>
        <v>28.860700000000001</v>
      </c>
      <c r="AC101" s="47">
        <f t="shared" si="51"/>
        <v>3.8431000000000002</v>
      </c>
      <c r="AD101" s="47"/>
      <c r="AE101" s="47"/>
      <c r="AF101" s="47">
        <f t="shared" si="52"/>
        <v>25.017600000000002</v>
      </c>
      <c r="AG101" s="47">
        <v>20848</v>
      </c>
      <c r="AH101" s="47"/>
      <c r="AI101" s="47">
        <f t="shared" si="53"/>
        <v>12.95</v>
      </c>
      <c r="AJ101" s="53">
        <f t="shared" si="54"/>
        <v>20.607199999999999</v>
      </c>
      <c r="AK101" s="53">
        <f t="shared" si="55"/>
        <v>206072</v>
      </c>
      <c r="AL101" s="47"/>
      <c r="AM101" s="47">
        <f t="shared" si="36"/>
        <v>8.4944000000000006</v>
      </c>
      <c r="AN101" s="47">
        <f t="shared" si="37"/>
        <v>7.9947999999999997</v>
      </c>
      <c r="AO101" s="47">
        <f t="shared" si="56"/>
        <v>79948</v>
      </c>
      <c r="AP101" s="47">
        <f t="shared" si="38"/>
        <v>0.49969999999999998</v>
      </c>
      <c r="AQ101" s="47">
        <f t="shared" si="57"/>
        <v>4997</v>
      </c>
      <c r="AR101" s="47"/>
      <c r="AS101" s="47">
        <f t="shared" si="58"/>
        <v>0.81879999999999997</v>
      </c>
      <c r="AT101" s="47">
        <f t="shared" si="39"/>
        <v>0.59960000000000002</v>
      </c>
      <c r="AU101" s="47">
        <f t="shared" si="59"/>
        <v>5996</v>
      </c>
      <c r="AV101" s="47">
        <f t="shared" si="40"/>
        <v>0.21920000000000001</v>
      </c>
      <c r="AW101" s="47">
        <f t="shared" si="60"/>
        <v>2192</v>
      </c>
      <c r="AX101" s="47">
        <f t="shared" si="41"/>
        <v>15.455399999999999</v>
      </c>
      <c r="AY101" s="47"/>
      <c r="AZ101" s="47"/>
      <c r="BA101" s="54">
        <v>1E-4</v>
      </c>
      <c r="BB101" s="55" t="s">
        <v>228</v>
      </c>
      <c r="BC101" s="51">
        <f t="shared" si="61"/>
        <v>117.58799999999999</v>
      </c>
      <c r="BD101" s="47">
        <f t="shared" si="64"/>
        <v>16.8</v>
      </c>
      <c r="BE101" s="47">
        <f t="shared" si="62"/>
        <v>7.7880000000000003</v>
      </c>
      <c r="BF101" s="47">
        <v>6490</v>
      </c>
      <c r="BG101" s="56">
        <v>93</v>
      </c>
      <c r="BH101" s="47"/>
      <c r="BI101" s="51">
        <f t="shared" si="42"/>
        <v>0</v>
      </c>
      <c r="BJ101" s="51">
        <f t="shared" si="43"/>
        <v>0</v>
      </c>
      <c r="BK101" s="47"/>
      <c r="BL101" s="47"/>
      <c r="BM101" s="47"/>
      <c r="BN101" s="47"/>
      <c r="BO101" s="47"/>
      <c r="BP101" s="47"/>
      <c r="BQ101" s="47"/>
      <c r="BR101" s="47"/>
      <c r="BS101" s="53"/>
      <c r="BT101" s="47"/>
      <c r="BU101" s="47"/>
      <c r="BV101" s="47"/>
      <c r="BW101" s="47"/>
      <c r="BX101" s="47"/>
      <c r="BY101" s="47"/>
      <c r="BZ101" s="47"/>
      <c r="CA101" s="47"/>
      <c r="CB101" s="54">
        <f t="shared" si="44"/>
        <v>291.75890000000004</v>
      </c>
    </row>
    <row r="102" spans="1:80" ht="14.25" customHeight="1">
      <c r="A102" s="47">
        <v>95</v>
      </c>
      <c r="B102" s="47" t="s">
        <v>129</v>
      </c>
      <c r="C102" s="48">
        <v>503001</v>
      </c>
      <c r="D102" s="49" t="s">
        <v>229</v>
      </c>
      <c r="E102" s="49" t="s">
        <v>131</v>
      </c>
      <c r="F102" s="50">
        <f t="shared" si="45"/>
        <v>42</v>
      </c>
      <c r="G102" s="50">
        <v>17</v>
      </c>
      <c r="H102" s="50"/>
      <c r="I102" s="50">
        <v>14</v>
      </c>
      <c r="J102" s="50">
        <v>11</v>
      </c>
      <c r="K102" s="50"/>
      <c r="L102" s="50"/>
      <c r="M102" s="50"/>
      <c r="N102" s="50">
        <v>58</v>
      </c>
      <c r="O102" s="50">
        <f t="shared" si="46"/>
        <v>100</v>
      </c>
      <c r="P102" s="51">
        <f t="shared" si="34"/>
        <v>1021.0208999999999</v>
      </c>
      <c r="Q102" s="51">
        <f t="shared" si="35"/>
        <v>557.47489999999993</v>
      </c>
      <c r="R102" s="47">
        <f t="shared" si="47"/>
        <v>154846.5</v>
      </c>
      <c r="S102" s="58">
        <v>76228</v>
      </c>
      <c r="T102" s="51">
        <v>78618.5</v>
      </c>
      <c r="U102" s="47">
        <f t="shared" si="48"/>
        <v>185.8158</v>
      </c>
      <c r="V102" s="51">
        <f t="shared" si="2"/>
        <v>100.455</v>
      </c>
      <c r="W102" s="47">
        <f t="shared" si="49"/>
        <v>38.25</v>
      </c>
      <c r="X102" s="67">
        <v>12.023999999999999</v>
      </c>
      <c r="Y102" s="47"/>
      <c r="Z102" s="47"/>
      <c r="AA102" s="47">
        <v>50.180999999999997</v>
      </c>
      <c r="AB102" s="51">
        <f t="shared" si="63"/>
        <v>77.040400000000005</v>
      </c>
      <c r="AC102" s="47">
        <f t="shared" si="51"/>
        <v>7.6227999999999998</v>
      </c>
      <c r="AD102" s="47">
        <v>3.06</v>
      </c>
      <c r="AE102" s="47"/>
      <c r="AF102" s="47">
        <f t="shared" si="52"/>
        <v>66.357600000000005</v>
      </c>
      <c r="AG102" s="47">
        <v>55298</v>
      </c>
      <c r="AH102" s="47"/>
      <c r="AI102" s="47">
        <f t="shared" si="53"/>
        <v>64.75</v>
      </c>
      <c r="AJ102" s="53">
        <f t="shared" si="54"/>
        <v>58.047400000000003</v>
      </c>
      <c r="AK102" s="53">
        <f t="shared" si="55"/>
        <v>580474</v>
      </c>
      <c r="AL102" s="47"/>
      <c r="AM102" s="47">
        <f t="shared" si="36"/>
        <v>24.984300000000001</v>
      </c>
      <c r="AN102" s="47">
        <f t="shared" si="37"/>
        <v>23.540299999999998</v>
      </c>
      <c r="AO102" s="47">
        <f t="shared" si="56"/>
        <v>235402.99999999997</v>
      </c>
      <c r="AP102" s="47">
        <f t="shared" si="38"/>
        <v>1.4440999999999999</v>
      </c>
      <c r="AQ102" s="47">
        <f t="shared" si="57"/>
        <v>14441</v>
      </c>
      <c r="AR102" s="47"/>
      <c r="AS102" s="47">
        <f t="shared" si="58"/>
        <v>2.8464999999999998</v>
      </c>
      <c r="AT102" s="47">
        <f t="shared" si="39"/>
        <v>1.7329000000000001</v>
      </c>
      <c r="AU102" s="47">
        <f t="shared" si="59"/>
        <v>17329</v>
      </c>
      <c r="AV102" s="47">
        <f t="shared" si="40"/>
        <v>1.1135999999999999</v>
      </c>
      <c r="AW102" s="47">
        <f t="shared" si="60"/>
        <v>11136</v>
      </c>
      <c r="AX102" s="47">
        <f t="shared" si="41"/>
        <v>43.535499999999999</v>
      </c>
      <c r="AY102" s="47"/>
      <c r="AZ102" s="47"/>
      <c r="BA102" s="54">
        <v>1E-4</v>
      </c>
      <c r="BB102" s="55" t="s">
        <v>229</v>
      </c>
      <c r="BC102" s="51">
        <f t="shared" si="61"/>
        <v>449.23599999999999</v>
      </c>
      <c r="BD102" s="47">
        <f t="shared" si="64"/>
        <v>44.4</v>
      </c>
      <c r="BE102" s="47">
        <f t="shared" si="62"/>
        <v>13.836</v>
      </c>
      <c r="BF102" s="47">
        <v>11530</v>
      </c>
      <c r="BG102" s="56">
        <v>316</v>
      </c>
      <c r="BH102" s="47">
        <v>75</v>
      </c>
      <c r="BI102" s="51">
        <f t="shared" si="42"/>
        <v>14.31</v>
      </c>
      <c r="BJ102" s="51">
        <f t="shared" si="43"/>
        <v>0</v>
      </c>
      <c r="BK102" s="47"/>
      <c r="BL102" s="47"/>
      <c r="BM102" s="47"/>
      <c r="BN102" s="47"/>
      <c r="BO102" s="47"/>
      <c r="BP102" s="68">
        <v>14.31</v>
      </c>
      <c r="BQ102" s="47"/>
      <c r="BR102" s="47"/>
      <c r="BS102" s="53"/>
      <c r="BT102" s="47"/>
      <c r="BU102" s="47"/>
      <c r="BV102" s="47"/>
      <c r="BW102" s="47"/>
      <c r="BX102" s="47"/>
      <c r="BY102" s="47"/>
      <c r="BZ102" s="47"/>
      <c r="CA102" s="47"/>
      <c r="CB102" s="54">
        <f t="shared" si="44"/>
        <v>1021.0208999999999</v>
      </c>
    </row>
    <row r="103" spans="1:80" ht="14.25" customHeight="1">
      <c r="A103" s="47">
        <v>96</v>
      </c>
      <c r="B103" s="47" t="s">
        <v>129</v>
      </c>
      <c r="C103" s="48">
        <v>503006</v>
      </c>
      <c r="D103" s="49" t="s">
        <v>230</v>
      </c>
      <c r="E103" s="49" t="s">
        <v>150</v>
      </c>
      <c r="F103" s="50">
        <f t="shared" si="45"/>
        <v>27</v>
      </c>
      <c r="G103" s="50"/>
      <c r="H103" s="50"/>
      <c r="I103" s="50">
        <v>27</v>
      </c>
      <c r="J103" s="50"/>
      <c r="K103" s="50"/>
      <c r="L103" s="50"/>
      <c r="M103" s="50"/>
      <c r="N103" s="50"/>
      <c r="O103" s="50">
        <f t="shared" si="46"/>
        <v>27</v>
      </c>
      <c r="P103" s="51">
        <f t="shared" si="34"/>
        <v>324.25049999999999</v>
      </c>
      <c r="Q103" s="51">
        <f t="shared" si="35"/>
        <v>298.33049999999997</v>
      </c>
      <c r="R103" s="47">
        <f t="shared" si="47"/>
        <v>92042</v>
      </c>
      <c r="S103" s="58"/>
      <c r="T103" s="58">
        <v>92042</v>
      </c>
      <c r="U103" s="47">
        <f t="shared" si="48"/>
        <v>110.4504</v>
      </c>
      <c r="V103" s="51">
        <f t="shared" si="2"/>
        <v>0</v>
      </c>
      <c r="W103" s="47">
        <f t="shared" si="49"/>
        <v>0</v>
      </c>
      <c r="X103" s="47"/>
      <c r="Y103" s="47"/>
      <c r="Z103" s="47"/>
      <c r="AA103" s="47"/>
      <c r="AB103" s="51">
        <f t="shared" si="63"/>
        <v>38.880000000000003</v>
      </c>
      <c r="AC103" s="47">
        <f t="shared" si="51"/>
        <v>0</v>
      </c>
      <c r="AD103" s="47"/>
      <c r="AE103" s="47"/>
      <c r="AF103" s="47">
        <f t="shared" si="52"/>
        <v>38.880000000000003</v>
      </c>
      <c r="AG103" s="47">
        <v>32400</v>
      </c>
      <c r="AH103" s="47"/>
      <c r="AI103" s="47">
        <f t="shared" si="53"/>
        <v>69.930000000000007</v>
      </c>
      <c r="AJ103" s="53">
        <f t="shared" si="54"/>
        <v>35.081699999999998</v>
      </c>
      <c r="AK103" s="53">
        <f t="shared" si="55"/>
        <v>350817</v>
      </c>
      <c r="AL103" s="47"/>
      <c r="AM103" s="47">
        <f t="shared" si="36"/>
        <v>15.3323</v>
      </c>
      <c r="AN103" s="47">
        <f t="shared" si="37"/>
        <v>14.430400000000001</v>
      </c>
      <c r="AO103" s="47">
        <f t="shared" si="56"/>
        <v>144304</v>
      </c>
      <c r="AP103" s="47">
        <f t="shared" si="38"/>
        <v>0.90190000000000003</v>
      </c>
      <c r="AQ103" s="47">
        <f t="shared" si="57"/>
        <v>9019</v>
      </c>
      <c r="AR103" s="47"/>
      <c r="AS103" s="47">
        <f t="shared" si="58"/>
        <v>2.3449</v>
      </c>
      <c r="AT103" s="47">
        <f t="shared" si="39"/>
        <v>1.0823</v>
      </c>
      <c r="AU103" s="47">
        <f t="shared" si="59"/>
        <v>10823</v>
      </c>
      <c r="AV103" s="47">
        <f t="shared" si="40"/>
        <v>1.2626999999999999</v>
      </c>
      <c r="AW103" s="47">
        <f t="shared" si="60"/>
        <v>12627</v>
      </c>
      <c r="AX103" s="47">
        <f t="shared" si="41"/>
        <v>26.311199999999999</v>
      </c>
      <c r="AY103" s="47"/>
      <c r="AZ103" s="47"/>
      <c r="BA103" s="54">
        <v>1E-4</v>
      </c>
      <c r="BB103" s="55" t="s">
        <v>230</v>
      </c>
      <c r="BC103" s="51">
        <f t="shared" si="61"/>
        <v>25.919999999999998</v>
      </c>
      <c r="BD103" s="47">
        <f t="shared" si="64"/>
        <v>25.919999999999998</v>
      </c>
      <c r="BE103" s="47">
        <f t="shared" si="62"/>
        <v>0</v>
      </c>
      <c r="BF103" s="47"/>
      <c r="BG103" s="56"/>
      <c r="BH103" s="47"/>
      <c r="BI103" s="51">
        <f t="shared" si="42"/>
        <v>0</v>
      </c>
      <c r="BJ103" s="51">
        <f t="shared" si="43"/>
        <v>0</v>
      </c>
      <c r="BK103" s="47"/>
      <c r="BL103" s="47"/>
      <c r="BM103" s="47"/>
      <c r="BN103" s="47"/>
      <c r="BO103" s="47"/>
      <c r="BP103" s="47"/>
      <c r="BQ103" s="47"/>
      <c r="BR103" s="47"/>
      <c r="BS103" s="53"/>
      <c r="BT103" s="47"/>
      <c r="BU103" s="47"/>
      <c r="BV103" s="47"/>
      <c r="BW103" s="47"/>
      <c r="BX103" s="47"/>
      <c r="BY103" s="47"/>
      <c r="BZ103" s="47"/>
      <c r="CA103" s="47"/>
      <c r="CB103" s="54">
        <f t="shared" si="44"/>
        <v>324.25049999999999</v>
      </c>
    </row>
    <row r="104" spans="1:80" ht="14.25" customHeight="1">
      <c r="A104" s="47">
        <v>97</v>
      </c>
      <c r="B104" s="47" t="s">
        <v>129</v>
      </c>
      <c r="C104" s="48">
        <v>503007</v>
      </c>
      <c r="D104" s="69" t="s">
        <v>231</v>
      </c>
      <c r="E104" s="69" t="s">
        <v>150</v>
      </c>
      <c r="F104" s="50">
        <f t="shared" si="45"/>
        <v>17</v>
      </c>
      <c r="G104" s="50"/>
      <c r="H104" s="50"/>
      <c r="I104" s="50">
        <v>17</v>
      </c>
      <c r="J104" s="50"/>
      <c r="K104" s="50"/>
      <c r="L104" s="50"/>
      <c r="M104" s="50"/>
      <c r="N104" s="50"/>
      <c r="O104" s="50">
        <f t="shared" si="46"/>
        <v>17</v>
      </c>
      <c r="P104" s="51">
        <f t="shared" si="34"/>
        <v>312.55439999999999</v>
      </c>
      <c r="Q104" s="51">
        <f t="shared" si="35"/>
        <v>216.23439999999999</v>
      </c>
      <c r="R104" s="47">
        <f t="shared" si="47"/>
        <v>63797</v>
      </c>
      <c r="S104" s="58"/>
      <c r="T104" s="58">
        <v>63797</v>
      </c>
      <c r="U104" s="47">
        <f t="shared" si="48"/>
        <v>76.556399999999996</v>
      </c>
      <c r="V104" s="51">
        <f t="shared" si="2"/>
        <v>15.263999999999999</v>
      </c>
      <c r="W104" s="47">
        <f t="shared" si="49"/>
        <v>0</v>
      </c>
      <c r="X104" s="67">
        <v>15.263999999999999</v>
      </c>
      <c r="Y104" s="47"/>
      <c r="Z104" s="47"/>
      <c r="AA104" s="47"/>
      <c r="AB104" s="51">
        <f t="shared" si="63"/>
        <v>27.948</v>
      </c>
      <c r="AC104" s="47">
        <f t="shared" si="51"/>
        <v>0</v>
      </c>
      <c r="AD104" s="47">
        <v>3.468</v>
      </c>
      <c r="AE104" s="47"/>
      <c r="AF104" s="47">
        <f t="shared" si="52"/>
        <v>24.48</v>
      </c>
      <c r="AG104" s="47">
        <v>20400</v>
      </c>
      <c r="AH104" s="47"/>
      <c r="AI104" s="47">
        <f t="shared" si="53"/>
        <v>44.03</v>
      </c>
      <c r="AJ104" s="53">
        <f t="shared" si="54"/>
        <v>23.210599999999999</v>
      </c>
      <c r="AK104" s="53">
        <f t="shared" si="55"/>
        <v>232106</v>
      </c>
      <c r="AL104" s="47"/>
      <c r="AM104" s="47">
        <f t="shared" si="36"/>
        <v>10.2498</v>
      </c>
      <c r="AN104" s="47">
        <f t="shared" si="37"/>
        <v>9.6469000000000005</v>
      </c>
      <c r="AO104" s="47">
        <f t="shared" si="56"/>
        <v>96469</v>
      </c>
      <c r="AP104" s="47">
        <f t="shared" si="38"/>
        <v>0.60289999999999999</v>
      </c>
      <c r="AQ104" s="47">
        <f t="shared" si="57"/>
        <v>6029</v>
      </c>
      <c r="AR104" s="47"/>
      <c r="AS104" s="47">
        <f t="shared" si="58"/>
        <v>1.5676000000000001</v>
      </c>
      <c r="AT104" s="47">
        <f t="shared" si="39"/>
        <v>0.72350000000000003</v>
      </c>
      <c r="AU104" s="47">
        <f t="shared" si="59"/>
        <v>7235</v>
      </c>
      <c r="AV104" s="47">
        <f t="shared" si="40"/>
        <v>0.84409999999999996</v>
      </c>
      <c r="AW104" s="47">
        <f t="shared" si="60"/>
        <v>8441</v>
      </c>
      <c r="AX104" s="47">
        <f t="shared" si="41"/>
        <v>17.408000000000001</v>
      </c>
      <c r="AY104" s="47"/>
      <c r="AZ104" s="47"/>
      <c r="BA104" s="54">
        <v>1E-4</v>
      </c>
      <c r="BB104" s="70" t="s">
        <v>231</v>
      </c>
      <c r="BC104" s="51">
        <f t="shared" si="61"/>
        <v>96.32</v>
      </c>
      <c r="BD104" s="47">
        <f t="shared" si="64"/>
        <v>16.32</v>
      </c>
      <c r="BE104" s="47">
        <f t="shared" si="62"/>
        <v>0</v>
      </c>
      <c r="BF104" s="47"/>
      <c r="BG104" s="56">
        <v>80</v>
      </c>
      <c r="BH104" s="47"/>
      <c r="BI104" s="51">
        <f t="shared" si="42"/>
        <v>0</v>
      </c>
      <c r="BJ104" s="51">
        <f t="shared" si="43"/>
        <v>0</v>
      </c>
      <c r="BK104" s="47"/>
      <c r="BL104" s="47"/>
      <c r="BM104" s="47"/>
      <c r="BN104" s="47"/>
      <c r="BO104" s="47"/>
      <c r="BP104" s="47"/>
      <c r="BQ104" s="47"/>
      <c r="BR104" s="47"/>
      <c r="BS104" s="53"/>
      <c r="BT104" s="47"/>
      <c r="BU104" s="47"/>
      <c r="BV104" s="47"/>
      <c r="BW104" s="47"/>
      <c r="BX104" s="47"/>
      <c r="BY104" s="47"/>
      <c r="BZ104" s="47"/>
      <c r="CA104" s="47"/>
      <c r="CB104" s="54">
        <f t="shared" ref="CB104:CB135" si="65">P104+BX104+BZ104+BY104+CA104</f>
        <v>312.55439999999999</v>
      </c>
    </row>
    <row r="105" spans="1:80" ht="14.25" customHeight="1">
      <c r="A105" s="47">
        <v>98</v>
      </c>
      <c r="B105" s="47" t="s">
        <v>129</v>
      </c>
      <c r="C105" s="48">
        <v>503008</v>
      </c>
      <c r="D105" s="69" t="s">
        <v>232</v>
      </c>
      <c r="E105" s="69" t="s">
        <v>150</v>
      </c>
      <c r="F105" s="50">
        <f t="shared" si="45"/>
        <v>12</v>
      </c>
      <c r="G105" s="50"/>
      <c r="H105" s="50"/>
      <c r="I105" s="50">
        <v>8</v>
      </c>
      <c r="J105" s="50">
        <v>4</v>
      </c>
      <c r="K105" s="50"/>
      <c r="L105" s="50"/>
      <c r="M105" s="50"/>
      <c r="N105" s="50"/>
      <c r="O105" s="50">
        <f t="shared" si="46"/>
        <v>12</v>
      </c>
      <c r="P105" s="51">
        <f t="shared" si="34"/>
        <v>168.34559999999999</v>
      </c>
      <c r="Q105" s="51">
        <f t="shared" si="35"/>
        <v>129.82559999999998</v>
      </c>
      <c r="R105" s="47">
        <f t="shared" si="47"/>
        <v>39235</v>
      </c>
      <c r="S105" s="58"/>
      <c r="T105" s="58">
        <v>39235</v>
      </c>
      <c r="U105" s="47">
        <f t="shared" si="48"/>
        <v>47.082000000000001</v>
      </c>
      <c r="V105" s="51">
        <f t="shared" si="2"/>
        <v>0</v>
      </c>
      <c r="W105" s="47">
        <f t="shared" si="49"/>
        <v>0</v>
      </c>
      <c r="X105" s="47"/>
      <c r="Y105" s="47"/>
      <c r="Z105" s="47"/>
      <c r="AA105" s="47"/>
      <c r="AB105" s="51">
        <f t="shared" si="63"/>
        <v>17.28</v>
      </c>
      <c r="AC105" s="47">
        <f t="shared" si="51"/>
        <v>0</v>
      </c>
      <c r="AD105" s="47"/>
      <c r="AE105" s="47"/>
      <c r="AF105" s="47">
        <f t="shared" si="52"/>
        <v>17.28</v>
      </c>
      <c r="AG105" s="47">
        <v>14400</v>
      </c>
      <c r="AH105" s="47"/>
      <c r="AI105" s="47">
        <f t="shared" si="53"/>
        <v>31.08</v>
      </c>
      <c r="AJ105" s="53">
        <f t="shared" si="54"/>
        <v>15.2707</v>
      </c>
      <c r="AK105" s="53">
        <f t="shared" si="55"/>
        <v>152707</v>
      </c>
      <c r="AL105" s="47"/>
      <c r="AM105" s="47">
        <f t="shared" si="36"/>
        <v>6.6437999999999997</v>
      </c>
      <c r="AN105" s="47">
        <f t="shared" si="37"/>
        <v>6.2530000000000001</v>
      </c>
      <c r="AO105" s="47">
        <f t="shared" si="56"/>
        <v>62530</v>
      </c>
      <c r="AP105" s="47">
        <f t="shared" si="38"/>
        <v>0.39079999999999998</v>
      </c>
      <c r="AQ105" s="47">
        <f t="shared" si="57"/>
        <v>3908</v>
      </c>
      <c r="AR105" s="47"/>
      <c r="AS105" s="47">
        <f t="shared" si="58"/>
        <v>1.0161</v>
      </c>
      <c r="AT105" s="47">
        <f t="shared" si="39"/>
        <v>0.46899999999999997</v>
      </c>
      <c r="AU105" s="47">
        <f t="shared" si="59"/>
        <v>4690</v>
      </c>
      <c r="AV105" s="47">
        <f t="shared" si="40"/>
        <v>0.54710000000000003</v>
      </c>
      <c r="AW105" s="47">
        <f t="shared" si="60"/>
        <v>5471</v>
      </c>
      <c r="AX105" s="47">
        <f t="shared" si="41"/>
        <v>11.452999999999999</v>
      </c>
      <c r="AY105" s="47"/>
      <c r="AZ105" s="47"/>
      <c r="BA105" s="54">
        <v>1E-4</v>
      </c>
      <c r="BB105" s="70" t="s">
        <v>232</v>
      </c>
      <c r="BC105" s="51">
        <f t="shared" si="61"/>
        <v>38.519999999999996</v>
      </c>
      <c r="BD105" s="47">
        <f t="shared" si="64"/>
        <v>11.52</v>
      </c>
      <c r="BE105" s="47">
        <f t="shared" si="62"/>
        <v>0</v>
      </c>
      <c r="BF105" s="47"/>
      <c r="BG105" s="56">
        <v>27</v>
      </c>
      <c r="BH105" s="47"/>
      <c r="BI105" s="51">
        <f t="shared" si="42"/>
        <v>0</v>
      </c>
      <c r="BJ105" s="51">
        <f t="shared" si="43"/>
        <v>0</v>
      </c>
      <c r="BK105" s="47"/>
      <c r="BL105" s="47"/>
      <c r="BM105" s="47"/>
      <c r="BN105" s="47"/>
      <c r="BO105" s="47"/>
      <c r="BP105" s="47"/>
      <c r="BQ105" s="47"/>
      <c r="BR105" s="47"/>
      <c r="BS105" s="53"/>
      <c r="BT105" s="47"/>
      <c r="BU105" s="47"/>
      <c r="BV105" s="47"/>
      <c r="BW105" s="47"/>
      <c r="BX105" s="47"/>
      <c r="BY105" s="47"/>
      <c r="BZ105" s="47"/>
      <c r="CA105" s="47"/>
      <c r="CB105" s="54">
        <f t="shared" si="65"/>
        <v>168.34559999999999</v>
      </c>
    </row>
    <row r="106" spans="1:80" ht="14.25" customHeight="1">
      <c r="A106" s="47">
        <v>99</v>
      </c>
      <c r="B106" s="47" t="s">
        <v>129</v>
      </c>
      <c r="C106" s="48">
        <v>503003</v>
      </c>
      <c r="D106" s="49" t="s">
        <v>233</v>
      </c>
      <c r="E106" s="49" t="s">
        <v>150</v>
      </c>
      <c r="F106" s="50">
        <f t="shared" si="45"/>
        <v>80</v>
      </c>
      <c r="G106" s="50"/>
      <c r="H106" s="50"/>
      <c r="I106" s="50">
        <v>80</v>
      </c>
      <c r="J106" s="50"/>
      <c r="K106" s="50"/>
      <c r="L106" s="50">
        <v>22</v>
      </c>
      <c r="M106" s="50"/>
      <c r="N106" s="50">
        <v>139</v>
      </c>
      <c r="O106" s="50">
        <f t="shared" si="46"/>
        <v>241</v>
      </c>
      <c r="P106" s="51">
        <f t="shared" si="34"/>
        <v>1106.6763000000001</v>
      </c>
      <c r="Q106" s="51">
        <f t="shared" si="35"/>
        <v>962.81229999999994</v>
      </c>
      <c r="R106" s="47">
        <f t="shared" si="47"/>
        <v>362856</v>
      </c>
      <c r="S106" s="58"/>
      <c r="T106" s="51">
        <v>362856</v>
      </c>
      <c r="U106" s="47">
        <f>ROUND((292016*12/10000+L106*800*12/10000),5)</f>
        <v>371.53919999999999</v>
      </c>
      <c r="V106" s="51">
        <f t="shared" si="2"/>
        <v>67.751999999999995</v>
      </c>
      <c r="W106" s="47">
        <f t="shared" si="49"/>
        <v>0</v>
      </c>
      <c r="X106" s="67">
        <v>67.751999999999995</v>
      </c>
      <c r="Y106" s="47"/>
      <c r="Z106" s="47"/>
      <c r="AA106" s="47"/>
      <c r="AB106" s="51">
        <f t="shared" si="63"/>
        <v>13.26</v>
      </c>
      <c r="AC106" s="47">
        <f t="shared" si="51"/>
        <v>0</v>
      </c>
      <c r="AD106" s="47">
        <v>13.26</v>
      </c>
      <c r="AE106" s="47"/>
      <c r="AF106" s="47"/>
      <c r="AG106" s="47">
        <f>65*1200</f>
        <v>78000</v>
      </c>
      <c r="AH106" s="47"/>
      <c r="AI106" s="47">
        <v>207.2</v>
      </c>
      <c r="AJ106" s="53">
        <v>126.9132</v>
      </c>
      <c r="AK106" s="53">
        <v>1269132</v>
      </c>
      <c r="AL106" s="67">
        <v>11.359</v>
      </c>
      <c r="AM106" s="47">
        <v>60.509099999999997</v>
      </c>
      <c r="AN106" s="47">
        <v>57.011099999999999</v>
      </c>
      <c r="AO106" s="47">
        <v>570111</v>
      </c>
      <c r="AP106" s="47">
        <v>3.4980000000000002</v>
      </c>
      <c r="AQ106" s="47">
        <v>34980</v>
      </c>
      <c r="AR106" s="47"/>
      <c r="AS106" s="47">
        <v>9.0949000000000009</v>
      </c>
      <c r="AT106" s="47">
        <v>4.1976000000000004</v>
      </c>
      <c r="AU106" s="47">
        <v>41976</v>
      </c>
      <c r="AV106" s="47">
        <v>4.8973000000000004</v>
      </c>
      <c r="AW106" s="47">
        <v>48973</v>
      </c>
      <c r="AX106" s="47">
        <v>95.184899999999999</v>
      </c>
      <c r="AY106" s="47"/>
      <c r="AZ106" s="47"/>
      <c r="BA106" s="54">
        <v>1E-4</v>
      </c>
      <c r="BB106" s="55" t="s">
        <v>233</v>
      </c>
      <c r="BC106" s="51">
        <f t="shared" si="61"/>
        <v>99.8</v>
      </c>
      <c r="BD106" s="47">
        <f t="shared" si="64"/>
        <v>76.8</v>
      </c>
      <c r="BE106" s="47">
        <f t="shared" si="62"/>
        <v>0</v>
      </c>
      <c r="BF106" s="47"/>
      <c r="BG106" s="56">
        <v>23</v>
      </c>
      <c r="BH106" s="47"/>
      <c r="BI106" s="51">
        <f t="shared" si="42"/>
        <v>44.064</v>
      </c>
      <c r="BJ106" s="51">
        <f t="shared" si="43"/>
        <v>34.271999999999998</v>
      </c>
      <c r="BK106" s="68">
        <v>34.271999999999998</v>
      </c>
      <c r="BL106" s="68"/>
      <c r="BM106" s="47"/>
      <c r="BN106" s="47"/>
      <c r="BO106" s="47"/>
      <c r="BP106" s="68">
        <v>9.7919999999999998</v>
      </c>
      <c r="BQ106" s="47"/>
      <c r="BR106" s="47"/>
      <c r="BS106" s="53"/>
      <c r="BT106" s="47"/>
      <c r="BU106" s="47"/>
      <c r="BV106" s="47"/>
      <c r="BW106" s="47"/>
      <c r="BX106" s="47"/>
      <c r="BY106" s="47"/>
      <c r="BZ106" s="47"/>
      <c r="CA106" s="47"/>
      <c r="CB106" s="54">
        <f t="shared" si="65"/>
        <v>1106.6763000000001</v>
      </c>
    </row>
    <row r="107" spans="1:80" ht="14.25" customHeight="1">
      <c r="A107" s="47">
        <v>100</v>
      </c>
      <c r="B107" s="47" t="s">
        <v>129</v>
      </c>
      <c r="C107" s="48">
        <v>503002</v>
      </c>
      <c r="D107" s="49" t="s">
        <v>234</v>
      </c>
      <c r="E107" s="49" t="s">
        <v>150</v>
      </c>
      <c r="F107" s="50">
        <f t="shared" si="45"/>
        <v>70</v>
      </c>
      <c r="G107" s="50"/>
      <c r="H107" s="50"/>
      <c r="I107" s="50">
        <v>70</v>
      </c>
      <c r="J107" s="50"/>
      <c r="K107" s="50"/>
      <c r="L107" s="50">
        <v>66</v>
      </c>
      <c r="M107" s="50"/>
      <c r="N107" s="50">
        <v>350</v>
      </c>
      <c r="O107" s="50">
        <f t="shared" si="46"/>
        <v>486</v>
      </c>
      <c r="P107" s="51">
        <f t="shared" si="34"/>
        <v>1214.1293000000001</v>
      </c>
      <c r="Q107" s="51">
        <f t="shared" si="35"/>
        <v>994.88529999999992</v>
      </c>
      <c r="R107" s="47">
        <f t="shared" si="47"/>
        <v>478467</v>
      </c>
      <c r="S107" s="58"/>
      <c r="T107" s="51">
        <v>478467</v>
      </c>
      <c r="U107" s="47">
        <f>ROUND((263040*12/10000+L107*800*12/10000),5)</f>
        <v>379.00799999999998</v>
      </c>
      <c r="V107" s="51">
        <f t="shared" si="2"/>
        <v>29.808</v>
      </c>
      <c r="W107" s="47">
        <f t="shared" si="49"/>
        <v>0</v>
      </c>
      <c r="X107" s="67">
        <v>29.808</v>
      </c>
      <c r="Y107" s="47"/>
      <c r="Z107" s="47"/>
      <c r="AA107" s="47"/>
      <c r="AB107" s="51">
        <f t="shared" si="63"/>
        <v>5.9160000000000004</v>
      </c>
      <c r="AC107" s="47">
        <f t="shared" si="51"/>
        <v>0</v>
      </c>
      <c r="AD107" s="47">
        <v>5.9160000000000004</v>
      </c>
      <c r="AE107" s="47"/>
      <c r="AF107" s="47"/>
      <c r="AG107" s="47">
        <f>29*1200</f>
        <v>34800</v>
      </c>
      <c r="AH107" s="47"/>
      <c r="AI107" s="47">
        <v>181.3</v>
      </c>
      <c r="AJ107" s="53">
        <v>154.9057</v>
      </c>
      <c r="AK107" s="53">
        <v>1549057</v>
      </c>
      <c r="AL107" s="67">
        <v>34.356200000000001</v>
      </c>
      <c r="AM107" s="47">
        <v>81.369</v>
      </c>
      <c r="AN107" s="47">
        <v>76.736999999999995</v>
      </c>
      <c r="AO107" s="47">
        <v>767370</v>
      </c>
      <c r="AP107" s="47">
        <v>4.6319999999999997</v>
      </c>
      <c r="AQ107" s="47">
        <v>46320</v>
      </c>
      <c r="AR107" s="47"/>
      <c r="AS107" s="47">
        <v>12.043200000000001</v>
      </c>
      <c r="AT107" s="47">
        <v>5.5583999999999998</v>
      </c>
      <c r="AU107" s="47">
        <v>55584</v>
      </c>
      <c r="AV107" s="47">
        <v>6.4847999999999999</v>
      </c>
      <c r="AW107" s="47">
        <v>64848</v>
      </c>
      <c r="AX107" s="47">
        <v>116.17919999999999</v>
      </c>
      <c r="AY107" s="47"/>
      <c r="AZ107" s="47"/>
      <c r="BA107" s="54">
        <v>1E-4</v>
      </c>
      <c r="BB107" s="55" t="s">
        <v>234</v>
      </c>
      <c r="BC107" s="51">
        <f t="shared" si="61"/>
        <v>119.2</v>
      </c>
      <c r="BD107" s="47">
        <f t="shared" si="64"/>
        <v>67.2</v>
      </c>
      <c r="BE107" s="47">
        <f t="shared" si="62"/>
        <v>0</v>
      </c>
      <c r="BF107" s="47"/>
      <c r="BG107" s="56">
        <v>52</v>
      </c>
      <c r="BH107" s="47"/>
      <c r="BI107" s="51">
        <f t="shared" si="42"/>
        <v>100.044</v>
      </c>
      <c r="BJ107" s="51">
        <f t="shared" si="43"/>
        <v>86.94</v>
      </c>
      <c r="BK107" s="68">
        <v>86.94</v>
      </c>
      <c r="BL107" s="68"/>
      <c r="BM107" s="47"/>
      <c r="BN107" s="47"/>
      <c r="BO107" s="47"/>
      <c r="BP107" s="68">
        <v>13.103999999999999</v>
      </c>
      <c r="BQ107" s="47"/>
      <c r="BR107" s="47"/>
      <c r="BS107" s="53"/>
      <c r="BT107" s="47"/>
      <c r="BU107" s="47"/>
      <c r="BV107" s="47"/>
      <c r="BW107" s="47"/>
      <c r="BX107" s="47"/>
      <c r="BY107" s="47"/>
      <c r="BZ107" s="47"/>
      <c r="CA107" s="47"/>
      <c r="CB107" s="54">
        <f t="shared" si="65"/>
        <v>1214.1293000000001</v>
      </c>
    </row>
    <row r="108" spans="1:80" ht="14.25" customHeight="1">
      <c r="A108" s="47">
        <v>101</v>
      </c>
      <c r="B108" s="47" t="s">
        <v>129</v>
      </c>
      <c r="C108" s="48">
        <v>503004</v>
      </c>
      <c r="D108" s="49" t="s">
        <v>235</v>
      </c>
      <c r="E108" s="49" t="s">
        <v>150</v>
      </c>
      <c r="F108" s="50">
        <f t="shared" si="45"/>
        <v>45</v>
      </c>
      <c r="G108" s="50"/>
      <c r="H108" s="50"/>
      <c r="I108" s="50">
        <v>45</v>
      </c>
      <c r="J108" s="50"/>
      <c r="K108" s="50"/>
      <c r="L108" s="50">
        <v>20</v>
      </c>
      <c r="M108" s="50"/>
      <c r="N108" s="50">
        <v>94</v>
      </c>
      <c r="O108" s="50">
        <f t="shared" si="46"/>
        <v>159</v>
      </c>
      <c r="P108" s="51">
        <f t="shared" si="34"/>
        <v>684.50900000000001</v>
      </c>
      <c r="Q108" s="51">
        <f t="shared" si="35"/>
        <v>597.32100000000003</v>
      </c>
      <c r="R108" s="47">
        <f t="shared" si="47"/>
        <v>242557</v>
      </c>
      <c r="S108" s="58"/>
      <c r="T108" s="51">
        <v>242557</v>
      </c>
      <c r="U108" s="47">
        <f>ROUND((176746*12/10000+L108*800*12/10000),5)</f>
        <v>231.29519999999999</v>
      </c>
      <c r="V108" s="51">
        <f t="shared" si="2"/>
        <v>40.968000000000004</v>
      </c>
      <c r="W108" s="47">
        <f t="shared" si="49"/>
        <v>0</v>
      </c>
      <c r="X108" s="67">
        <v>40.968000000000004</v>
      </c>
      <c r="Y108" s="47"/>
      <c r="Z108" s="47"/>
      <c r="AA108" s="47"/>
      <c r="AB108" s="51">
        <f t="shared" si="63"/>
        <v>7.9560000000000004</v>
      </c>
      <c r="AC108" s="47">
        <f t="shared" si="51"/>
        <v>0</v>
      </c>
      <c r="AD108" s="47">
        <v>7.9560000000000004</v>
      </c>
      <c r="AE108" s="47"/>
      <c r="AF108" s="47"/>
      <c r="AG108" s="47">
        <v>46800</v>
      </c>
      <c r="AH108" s="47"/>
      <c r="AI108" s="47">
        <v>116.55</v>
      </c>
      <c r="AJ108" s="53">
        <v>82.492500000000007</v>
      </c>
      <c r="AK108" s="53">
        <v>824925</v>
      </c>
      <c r="AL108" s="67">
        <v>10.4619</v>
      </c>
      <c r="AM108" s="47">
        <v>39.755600000000001</v>
      </c>
      <c r="AN108" s="47">
        <v>37.458500000000001</v>
      </c>
      <c r="AO108" s="47">
        <v>374585</v>
      </c>
      <c r="AP108" s="47">
        <v>2.2970999999999999</v>
      </c>
      <c r="AQ108" s="47">
        <v>22971</v>
      </c>
      <c r="AR108" s="47"/>
      <c r="AS108" s="47">
        <v>5.9724000000000004</v>
      </c>
      <c r="AT108" s="47">
        <v>2.7565</v>
      </c>
      <c r="AU108" s="47">
        <v>27565</v>
      </c>
      <c r="AV108" s="47">
        <v>3.2159</v>
      </c>
      <c r="AW108" s="47">
        <v>32159</v>
      </c>
      <c r="AX108" s="47">
        <v>61.869399999999999</v>
      </c>
      <c r="AY108" s="47"/>
      <c r="AZ108" s="47"/>
      <c r="BA108" s="54">
        <v>1E-4</v>
      </c>
      <c r="BB108" s="55" t="s">
        <v>235</v>
      </c>
      <c r="BC108" s="51">
        <f t="shared" si="61"/>
        <v>57.199999999999996</v>
      </c>
      <c r="BD108" s="47">
        <f t="shared" si="64"/>
        <v>43.199999999999996</v>
      </c>
      <c r="BE108" s="47">
        <f t="shared" si="62"/>
        <v>0</v>
      </c>
      <c r="BF108" s="47"/>
      <c r="BG108" s="56">
        <v>14</v>
      </c>
      <c r="BH108" s="47"/>
      <c r="BI108" s="51">
        <f t="shared" si="42"/>
        <v>29.988</v>
      </c>
      <c r="BJ108" s="51">
        <f t="shared" si="43"/>
        <v>20.411999999999999</v>
      </c>
      <c r="BK108" s="68">
        <v>20.411999999999999</v>
      </c>
      <c r="BL108" s="68"/>
      <c r="BM108" s="47"/>
      <c r="BN108" s="47"/>
      <c r="BO108" s="47"/>
      <c r="BP108" s="68">
        <v>9.5760000000000005</v>
      </c>
      <c r="BQ108" s="47"/>
      <c r="BR108" s="47"/>
      <c r="BS108" s="53"/>
      <c r="BT108" s="47"/>
      <c r="BU108" s="47"/>
      <c r="BV108" s="47"/>
      <c r="BW108" s="47"/>
      <c r="BX108" s="47"/>
      <c r="BY108" s="47"/>
      <c r="BZ108" s="47"/>
      <c r="CA108" s="47"/>
      <c r="CB108" s="54">
        <f t="shared" si="65"/>
        <v>684.50900000000001</v>
      </c>
    </row>
    <row r="109" spans="1:80" ht="14.25" customHeight="1">
      <c r="A109" s="47">
        <v>102</v>
      </c>
      <c r="B109" s="47" t="s">
        <v>129</v>
      </c>
      <c r="C109" s="48">
        <v>503005</v>
      </c>
      <c r="D109" s="49" t="s">
        <v>236</v>
      </c>
      <c r="E109" s="49" t="s">
        <v>150</v>
      </c>
      <c r="F109" s="50">
        <f t="shared" si="45"/>
        <v>10</v>
      </c>
      <c r="G109" s="50"/>
      <c r="H109" s="50"/>
      <c r="I109" s="50">
        <v>10</v>
      </c>
      <c r="J109" s="50"/>
      <c r="K109" s="50"/>
      <c r="L109" s="50">
        <v>13</v>
      </c>
      <c r="M109" s="50"/>
      <c r="N109" s="50">
        <v>48</v>
      </c>
      <c r="O109" s="50">
        <f t="shared" si="46"/>
        <v>71</v>
      </c>
      <c r="P109" s="51">
        <f t="shared" si="34"/>
        <v>204.58589999999998</v>
      </c>
      <c r="Q109" s="51">
        <f t="shared" si="35"/>
        <v>166.81789999999998</v>
      </c>
      <c r="R109" s="47">
        <f t="shared" si="47"/>
        <v>81445</v>
      </c>
      <c r="S109" s="58"/>
      <c r="T109" s="51">
        <v>81445</v>
      </c>
      <c r="U109" s="47">
        <f>ROUND((38105*12/10000+L109*800*12/10000),5)</f>
        <v>58.206000000000003</v>
      </c>
      <c r="V109" s="51">
        <f t="shared" si="2"/>
        <v>10.368</v>
      </c>
      <c r="W109" s="47">
        <f t="shared" si="49"/>
        <v>0</v>
      </c>
      <c r="X109" s="67">
        <v>10.368</v>
      </c>
      <c r="Y109" s="47"/>
      <c r="Z109" s="47"/>
      <c r="AA109" s="47"/>
      <c r="AB109" s="51">
        <f t="shared" si="63"/>
        <v>2.04</v>
      </c>
      <c r="AC109" s="47">
        <f t="shared" si="51"/>
        <v>0</v>
      </c>
      <c r="AD109" s="47">
        <v>2.04</v>
      </c>
      <c r="AE109" s="47"/>
      <c r="AF109" s="47"/>
      <c r="AG109" s="47">
        <f>9*1200</f>
        <v>10800</v>
      </c>
      <c r="AH109" s="47"/>
      <c r="AI109" s="47">
        <v>25.9</v>
      </c>
      <c r="AJ109" s="53">
        <v>27.2422</v>
      </c>
      <c r="AK109" s="53">
        <v>272422</v>
      </c>
      <c r="AL109" s="67">
        <v>6.8541999999999996</v>
      </c>
      <c r="AM109" s="47">
        <v>13.7308</v>
      </c>
      <c r="AN109" s="47">
        <v>12.9443</v>
      </c>
      <c r="AO109" s="47">
        <v>129443</v>
      </c>
      <c r="AP109" s="47">
        <v>0.78649999999999998</v>
      </c>
      <c r="AQ109" s="47">
        <v>7865</v>
      </c>
      <c r="AR109" s="47"/>
      <c r="AS109" s="47">
        <v>2.0449999999999999</v>
      </c>
      <c r="AT109" s="47">
        <v>0.94379999999999997</v>
      </c>
      <c r="AU109" s="47">
        <v>9438</v>
      </c>
      <c r="AV109" s="47">
        <v>1.1011</v>
      </c>
      <c r="AW109" s="47">
        <v>11011</v>
      </c>
      <c r="AX109" s="47">
        <v>20.431699999999999</v>
      </c>
      <c r="AY109" s="47"/>
      <c r="AZ109" s="47"/>
      <c r="BA109" s="54">
        <v>1E-4</v>
      </c>
      <c r="BB109" s="55" t="s">
        <v>236</v>
      </c>
      <c r="BC109" s="51">
        <f t="shared" si="61"/>
        <v>25.6</v>
      </c>
      <c r="BD109" s="47">
        <f t="shared" si="64"/>
        <v>9.6</v>
      </c>
      <c r="BE109" s="47">
        <f t="shared" si="62"/>
        <v>0</v>
      </c>
      <c r="BF109" s="47"/>
      <c r="BG109" s="56">
        <v>16</v>
      </c>
      <c r="BH109" s="47"/>
      <c r="BI109" s="51">
        <f t="shared" si="42"/>
        <v>12.167999999999999</v>
      </c>
      <c r="BJ109" s="51">
        <f t="shared" si="43"/>
        <v>11.34</v>
      </c>
      <c r="BK109" s="68">
        <v>11.34</v>
      </c>
      <c r="BL109" s="68"/>
      <c r="BM109" s="47"/>
      <c r="BN109" s="47"/>
      <c r="BO109" s="47"/>
      <c r="BP109" s="68">
        <v>0.82799999999999996</v>
      </c>
      <c r="BQ109" s="47"/>
      <c r="BR109" s="47"/>
      <c r="BS109" s="53"/>
      <c r="BT109" s="47"/>
      <c r="BU109" s="47"/>
      <c r="BV109" s="47"/>
      <c r="BW109" s="47"/>
      <c r="BX109" s="47"/>
      <c r="BY109" s="47"/>
      <c r="BZ109" s="47"/>
      <c r="CA109" s="47"/>
      <c r="CB109" s="54">
        <f t="shared" si="65"/>
        <v>204.58589999999998</v>
      </c>
    </row>
    <row r="110" spans="1:80" ht="14.25" customHeight="1">
      <c r="A110" s="47">
        <v>103</v>
      </c>
      <c r="B110" s="47" t="s">
        <v>129</v>
      </c>
      <c r="C110" s="48">
        <v>502001</v>
      </c>
      <c r="D110" s="49" t="s">
        <v>237</v>
      </c>
      <c r="E110" s="49" t="s">
        <v>131</v>
      </c>
      <c r="F110" s="50">
        <f t="shared" si="45"/>
        <v>61</v>
      </c>
      <c r="G110" s="50">
        <v>26</v>
      </c>
      <c r="H110" s="50">
        <v>9</v>
      </c>
      <c r="I110" s="50">
        <v>16</v>
      </c>
      <c r="J110" s="50">
        <v>10</v>
      </c>
      <c r="K110" s="50"/>
      <c r="L110" s="50"/>
      <c r="M110" s="50"/>
      <c r="N110" s="50">
        <v>23</v>
      </c>
      <c r="O110" s="50">
        <f t="shared" si="46"/>
        <v>84</v>
      </c>
      <c r="P110" s="51">
        <f t="shared" si="34"/>
        <v>1211.6251000000002</v>
      </c>
      <c r="Q110" s="51">
        <f t="shared" si="35"/>
        <v>745.49910000000011</v>
      </c>
      <c r="R110" s="47">
        <f t="shared" si="47"/>
        <v>220883</v>
      </c>
      <c r="S110" s="58">
        <v>126705</v>
      </c>
      <c r="T110" s="51">
        <v>94178</v>
      </c>
      <c r="U110" s="47">
        <f t="shared" si="48"/>
        <v>265.05959999999999</v>
      </c>
      <c r="V110" s="51">
        <f t="shared" si="2"/>
        <v>78.75</v>
      </c>
      <c r="W110" s="47">
        <f t="shared" si="49"/>
        <v>78.75</v>
      </c>
      <c r="X110" s="47"/>
      <c r="Y110" s="47"/>
      <c r="Z110" s="47"/>
      <c r="AA110" s="47"/>
      <c r="AB110" s="51">
        <f t="shared" si="63"/>
        <v>108.8109</v>
      </c>
      <c r="AC110" s="47">
        <f t="shared" si="51"/>
        <v>12.670500000000001</v>
      </c>
      <c r="AD110" s="47"/>
      <c r="AE110" s="47"/>
      <c r="AF110" s="47">
        <f t="shared" si="52"/>
        <v>96.1404</v>
      </c>
      <c r="AG110" s="47">
        <v>80117</v>
      </c>
      <c r="AH110" s="47"/>
      <c r="AI110" s="47">
        <f t="shared" si="53"/>
        <v>67.34</v>
      </c>
      <c r="AJ110" s="53">
        <f t="shared" si="54"/>
        <v>83.193700000000007</v>
      </c>
      <c r="AK110" s="53">
        <f t="shared" si="55"/>
        <v>831937.00000000012</v>
      </c>
      <c r="AL110" s="47"/>
      <c r="AM110" s="47">
        <f t="shared" ref="AM110:AM132" si="66">ROUND(((U110+W110+AI110)*0.085+N110*0.0075),4)</f>
        <v>35.120199999999997</v>
      </c>
      <c r="AN110" s="47">
        <f t="shared" ref="AN110:AN132" si="67">ROUND(((U110+W110+AI110)*0.08+N110*0.0075),4)</f>
        <v>33.064500000000002</v>
      </c>
      <c r="AO110" s="47">
        <f t="shared" si="56"/>
        <v>330645</v>
      </c>
      <c r="AP110" s="47">
        <f t="shared" si="38"/>
        <v>2.0556999999999999</v>
      </c>
      <c r="AQ110" s="47">
        <f t="shared" si="57"/>
        <v>20557</v>
      </c>
      <c r="AR110" s="47"/>
      <c r="AS110" s="47">
        <f t="shared" si="58"/>
        <v>3.7294</v>
      </c>
      <c r="AT110" s="47">
        <f t="shared" ref="AT110:AT123" si="68">ROUND(((U110+W110+AI110)*0.006),4)</f>
        <v>2.4668999999999999</v>
      </c>
      <c r="AU110" s="47">
        <f t="shared" si="59"/>
        <v>24669</v>
      </c>
      <c r="AV110" s="47">
        <f t="shared" ref="AV110:AV159" si="69">ROUND(((T110*12/10000+AI110)*0.007),4)</f>
        <v>1.2625</v>
      </c>
      <c r="AW110" s="47">
        <f t="shared" si="60"/>
        <v>12625</v>
      </c>
      <c r="AX110" s="47">
        <f t="shared" si="41"/>
        <v>62.395299999999999</v>
      </c>
      <c r="AY110" s="47"/>
      <c r="AZ110" s="67">
        <v>41.1</v>
      </c>
      <c r="BA110" s="54">
        <v>1E-4</v>
      </c>
      <c r="BB110" s="55" t="s">
        <v>237</v>
      </c>
      <c r="BC110" s="51">
        <f t="shared" si="61"/>
        <v>382.76</v>
      </c>
      <c r="BD110" s="47">
        <f t="shared" si="64"/>
        <v>66.960000000000008</v>
      </c>
      <c r="BE110" s="47">
        <f t="shared" si="62"/>
        <v>24.3</v>
      </c>
      <c r="BF110" s="47">
        <v>20250</v>
      </c>
      <c r="BG110" s="56">
        <v>282</v>
      </c>
      <c r="BH110" s="47">
        <v>9.5</v>
      </c>
      <c r="BI110" s="51">
        <f t="shared" si="42"/>
        <v>83.366</v>
      </c>
      <c r="BJ110" s="51">
        <f t="shared" si="43"/>
        <v>0</v>
      </c>
      <c r="BK110" s="47"/>
      <c r="BL110" s="47"/>
      <c r="BM110" s="47"/>
      <c r="BN110" s="47"/>
      <c r="BO110" s="47"/>
      <c r="BP110" s="68">
        <v>11.196</v>
      </c>
      <c r="BQ110" s="47"/>
      <c r="BR110" s="47"/>
      <c r="BS110" s="53"/>
      <c r="BT110" s="47"/>
      <c r="BU110" s="47"/>
      <c r="BV110" s="47"/>
      <c r="BW110" s="47">
        <v>72.17</v>
      </c>
      <c r="BX110" s="47"/>
      <c r="BY110" s="47"/>
      <c r="BZ110" s="47"/>
      <c r="CA110" s="47"/>
      <c r="CB110" s="54">
        <f t="shared" si="65"/>
        <v>1211.6251000000002</v>
      </c>
    </row>
    <row r="111" spans="1:80" ht="14.25" customHeight="1">
      <c r="A111" s="47">
        <v>104</v>
      </c>
      <c r="B111" s="47" t="s">
        <v>129</v>
      </c>
      <c r="C111" s="48">
        <v>506001</v>
      </c>
      <c r="D111" s="49" t="s">
        <v>238</v>
      </c>
      <c r="E111" s="49" t="s">
        <v>141</v>
      </c>
      <c r="F111" s="50">
        <f t="shared" si="45"/>
        <v>24</v>
      </c>
      <c r="G111" s="50">
        <v>17</v>
      </c>
      <c r="H111" s="50">
        <v>1</v>
      </c>
      <c r="I111" s="50">
        <v>6</v>
      </c>
      <c r="J111" s="50"/>
      <c r="K111" s="50"/>
      <c r="L111" s="50"/>
      <c r="M111" s="50"/>
      <c r="N111" s="50">
        <v>1</v>
      </c>
      <c r="O111" s="50">
        <f t="shared" si="46"/>
        <v>25</v>
      </c>
      <c r="P111" s="51">
        <f t="shared" si="34"/>
        <v>447.8229</v>
      </c>
      <c r="Q111" s="51">
        <f t="shared" si="35"/>
        <v>296.27089999999998</v>
      </c>
      <c r="R111" s="47">
        <f t="shared" si="47"/>
        <v>95045</v>
      </c>
      <c r="S111" s="58">
        <v>76839</v>
      </c>
      <c r="T111" s="58">
        <v>18206</v>
      </c>
      <c r="U111" s="47">
        <f t="shared" si="48"/>
        <v>114.054</v>
      </c>
      <c r="V111" s="51">
        <f t="shared" si="2"/>
        <v>40.5</v>
      </c>
      <c r="W111" s="47">
        <f t="shared" si="49"/>
        <v>40.5</v>
      </c>
      <c r="X111" s="47"/>
      <c r="Y111" s="47"/>
      <c r="Z111" s="47"/>
      <c r="AA111" s="47"/>
      <c r="AB111" s="51">
        <f t="shared" si="63"/>
        <v>49.064700000000002</v>
      </c>
      <c r="AC111" s="47">
        <f t="shared" si="51"/>
        <v>7.6839000000000004</v>
      </c>
      <c r="AD111" s="47"/>
      <c r="AE111" s="47"/>
      <c r="AF111" s="47">
        <f t="shared" si="52"/>
        <v>41.380800000000001</v>
      </c>
      <c r="AG111" s="47">
        <v>34484</v>
      </c>
      <c r="AH111" s="47"/>
      <c r="AI111" s="47">
        <f t="shared" si="53"/>
        <v>15.54</v>
      </c>
      <c r="AJ111" s="53">
        <f t="shared" si="54"/>
        <v>35.065399999999997</v>
      </c>
      <c r="AK111" s="53">
        <f t="shared" si="55"/>
        <v>350653.99999999994</v>
      </c>
      <c r="AL111" s="47"/>
      <c r="AM111" s="47">
        <f t="shared" si="66"/>
        <v>14.4655</v>
      </c>
      <c r="AN111" s="47">
        <f t="shared" si="67"/>
        <v>13.615</v>
      </c>
      <c r="AO111" s="47">
        <f t="shared" si="56"/>
        <v>136150</v>
      </c>
      <c r="AP111" s="47">
        <f t="shared" si="38"/>
        <v>0.85050000000000003</v>
      </c>
      <c r="AQ111" s="47">
        <f t="shared" si="57"/>
        <v>8505</v>
      </c>
      <c r="AR111" s="47"/>
      <c r="AS111" s="47">
        <f t="shared" si="58"/>
        <v>1.2823</v>
      </c>
      <c r="AT111" s="47">
        <f t="shared" si="68"/>
        <v>1.0206</v>
      </c>
      <c r="AU111" s="47">
        <f t="shared" si="59"/>
        <v>10206</v>
      </c>
      <c r="AV111" s="47">
        <f t="shared" si="69"/>
        <v>0.26169999999999999</v>
      </c>
      <c r="AW111" s="47">
        <f t="shared" si="60"/>
        <v>2617</v>
      </c>
      <c r="AX111" s="47">
        <f t="shared" si="41"/>
        <v>26.298999999999999</v>
      </c>
      <c r="AY111" s="47"/>
      <c r="AZ111" s="47"/>
      <c r="BA111" s="54">
        <v>1E-4</v>
      </c>
      <c r="BB111" s="55" t="s">
        <v>238</v>
      </c>
      <c r="BC111" s="51">
        <f t="shared" si="61"/>
        <v>151.55199999999999</v>
      </c>
      <c r="BD111" s="47">
        <f t="shared" si="64"/>
        <v>27.36</v>
      </c>
      <c r="BE111" s="47">
        <f t="shared" si="62"/>
        <v>15.192</v>
      </c>
      <c r="BF111" s="47">
        <v>12660</v>
      </c>
      <c r="BG111" s="56">
        <v>109</v>
      </c>
      <c r="BH111" s="47"/>
      <c r="BI111" s="51">
        <f t="shared" si="42"/>
        <v>0</v>
      </c>
      <c r="BJ111" s="51">
        <f t="shared" si="43"/>
        <v>0</v>
      </c>
      <c r="BK111" s="47"/>
      <c r="BL111" s="47"/>
      <c r="BM111" s="47"/>
      <c r="BN111" s="47"/>
      <c r="BO111" s="47"/>
      <c r="BP111" s="47"/>
      <c r="BQ111" s="47"/>
      <c r="BR111" s="47"/>
      <c r="BS111" s="53"/>
      <c r="BT111" s="47"/>
      <c r="BU111" s="47"/>
      <c r="BV111" s="47"/>
      <c r="BW111" s="47"/>
      <c r="BX111" s="47"/>
      <c r="BY111" s="47"/>
      <c r="BZ111" s="47"/>
      <c r="CA111" s="47"/>
      <c r="CB111" s="54">
        <f t="shared" si="65"/>
        <v>447.8229</v>
      </c>
    </row>
    <row r="112" spans="1:80" ht="14.25" customHeight="1">
      <c r="A112" s="47">
        <v>105</v>
      </c>
      <c r="B112" s="47" t="s">
        <v>129</v>
      </c>
      <c r="C112" s="48">
        <v>502002</v>
      </c>
      <c r="D112" s="49" t="s">
        <v>239</v>
      </c>
      <c r="E112" s="49" t="s">
        <v>141</v>
      </c>
      <c r="F112" s="50">
        <f t="shared" si="45"/>
        <v>23</v>
      </c>
      <c r="G112" s="50">
        <v>5</v>
      </c>
      <c r="H112" s="50">
        <v>18</v>
      </c>
      <c r="I112" s="50"/>
      <c r="J112" s="50"/>
      <c r="K112" s="50"/>
      <c r="L112" s="50"/>
      <c r="M112" s="50"/>
      <c r="N112" s="50">
        <v>3</v>
      </c>
      <c r="O112" s="50">
        <f t="shared" si="46"/>
        <v>26</v>
      </c>
      <c r="P112" s="51">
        <f t="shared" si="34"/>
        <v>344.81309999999996</v>
      </c>
      <c r="Q112" s="51">
        <f t="shared" si="35"/>
        <v>243.63309999999998</v>
      </c>
      <c r="R112" s="47">
        <f t="shared" si="47"/>
        <v>72233</v>
      </c>
      <c r="S112" s="58">
        <v>72233</v>
      </c>
      <c r="T112" s="58"/>
      <c r="U112" s="47">
        <f t="shared" si="48"/>
        <v>86.679599999999994</v>
      </c>
      <c r="V112" s="51">
        <f t="shared" si="2"/>
        <v>51.75</v>
      </c>
      <c r="W112" s="47">
        <f t="shared" si="49"/>
        <v>51.75</v>
      </c>
      <c r="X112" s="47"/>
      <c r="Y112" s="47"/>
      <c r="Z112" s="47"/>
      <c r="AA112" s="47"/>
      <c r="AB112" s="51">
        <f t="shared" si="63"/>
        <v>42.049700000000001</v>
      </c>
      <c r="AC112" s="47">
        <f t="shared" si="51"/>
        <v>7.2233000000000001</v>
      </c>
      <c r="AD112" s="47"/>
      <c r="AE112" s="47"/>
      <c r="AF112" s="47">
        <f t="shared" si="52"/>
        <v>34.8264</v>
      </c>
      <c r="AG112" s="47">
        <v>29022</v>
      </c>
      <c r="AH112" s="47"/>
      <c r="AI112" s="47">
        <f t="shared" si="53"/>
        <v>0</v>
      </c>
      <c r="AJ112" s="53">
        <f t="shared" si="54"/>
        <v>28.8767</v>
      </c>
      <c r="AK112" s="53">
        <f t="shared" si="55"/>
        <v>288767</v>
      </c>
      <c r="AL112" s="47"/>
      <c r="AM112" s="47">
        <f t="shared" si="66"/>
        <v>11.789</v>
      </c>
      <c r="AN112" s="47">
        <f t="shared" si="67"/>
        <v>11.0969</v>
      </c>
      <c r="AO112" s="47">
        <f t="shared" si="56"/>
        <v>110969</v>
      </c>
      <c r="AP112" s="47">
        <f t="shared" si="38"/>
        <v>0.69210000000000005</v>
      </c>
      <c r="AQ112" s="47">
        <f t="shared" si="57"/>
        <v>6921.0000000000009</v>
      </c>
      <c r="AR112" s="47"/>
      <c r="AS112" s="47">
        <f t="shared" si="58"/>
        <v>0.8306</v>
      </c>
      <c r="AT112" s="47">
        <f t="shared" si="68"/>
        <v>0.8306</v>
      </c>
      <c r="AU112" s="47">
        <f t="shared" si="59"/>
        <v>8306</v>
      </c>
      <c r="AV112" s="47">
        <f t="shared" si="69"/>
        <v>0</v>
      </c>
      <c r="AW112" s="47">
        <f t="shared" si="60"/>
        <v>0</v>
      </c>
      <c r="AX112" s="47">
        <f t="shared" si="41"/>
        <v>21.657499999999999</v>
      </c>
      <c r="AY112" s="47"/>
      <c r="AZ112" s="47"/>
      <c r="BA112" s="54">
        <v>1E-4</v>
      </c>
      <c r="BB112" s="55" t="s">
        <v>239</v>
      </c>
      <c r="BC112" s="51">
        <f t="shared" si="61"/>
        <v>101.18</v>
      </c>
      <c r="BD112" s="47">
        <f t="shared" si="64"/>
        <v>27.599999999999998</v>
      </c>
      <c r="BE112" s="47">
        <f t="shared" si="62"/>
        <v>14.58</v>
      </c>
      <c r="BF112" s="47">
        <v>12150</v>
      </c>
      <c r="BG112" s="56">
        <v>27</v>
      </c>
      <c r="BH112" s="47">
        <v>32</v>
      </c>
      <c r="BI112" s="51">
        <f t="shared" si="42"/>
        <v>0</v>
      </c>
      <c r="BJ112" s="51">
        <f t="shared" si="43"/>
        <v>0</v>
      </c>
      <c r="BK112" s="47"/>
      <c r="BL112" s="47"/>
      <c r="BM112" s="47"/>
      <c r="BN112" s="47"/>
      <c r="BO112" s="47"/>
      <c r="BP112" s="47"/>
      <c r="BQ112" s="47"/>
      <c r="BR112" s="47"/>
      <c r="BS112" s="53"/>
      <c r="BT112" s="47"/>
      <c r="BU112" s="47"/>
      <c r="BV112" s="47"/>
      <c r="BW112" s="47"/>
      <c r="BX112" s="47"/>
      <c r="BY112" s="47"/>
      <c r="BZ112" s="47"/>
      <c r="CA112" s="47"/>
      <c r="CB112" s="54">
        <f t="shared" si="65"/>
        <v>344.81309999999996</v>
      </c>
    </row>
    <row r="113" spans="1:80" ht="14.25" customHeight="1">
      <c r="A113" s="47">
        <v>106</v>
      </c>
      <c r="B113" s="47" t="s">
        <v>129</v>
      </c>
      <c r="C113" s="48">
        <v>502003</v>
      </c>
      <c r="D113" s="49" t="s">
        <v>240</v>
      </c>
      <c r="E113" s="49" t="s">
        <v>150</v>
      </c>
      <c r="F113" s="50">
        <f t="shared" si="45"/>
        <v>21</v>
      </c>
      <c r="G113" s="50"/>
      <c r="H113" s="50"/>
      <c r="I113" s="50">
        <v>6</v>
      </c>
      <c r="J113" s="50">
        <v>15</v>
      </c>
      <c r="K113" s="50"/>
      <c r="L113" s="50">
        <v>3</v>
      </c>
      <c r="M113" s="50"/>
      <c r="N113" s="50">
        <v>19</v>
      </c>
      <c r="O113" s="50">
        <f t="shared" si="46"/>
        <v>43</v>
      </c>
      <c r="P113" s="51">
        <f t="shared" si="34"/>
        <v>309.29430000000002</v>
      </c>
      <c r="Q113" s="51">
        <f t="shared" si="35"/>
        <v>264.30630000000002</v>
      </c>
      <c r="R113" s="47">
        <f t="shared" si="47"/>
        <v>72478</v>
      </c>
      <c r="S113" s="58"/>
      <c r="T113" s="58">
        <v>72478</v>
      </c>
      <c r="U113" s="47">
        <f t="shared" ref="U113:U118" si="70">ROUND(R113*12/10000,5)+L113*2</f>
        <v>92.973600000000005</v>
      </c>
      <c r="V113" s="51">
        <f t="shared" si="2"/>
        <v>20.952000000000002</v>
      </c>
      <c r="W113" s="47">
        <f t="shared" si="49"/>
        <v>0</v>
      </c>
      <c r="X113" s="67">
        <v>20.952000000000002</v>
      </c>
      <c r="Y113" s="47"/>
      <c r="Z113" s="47"/>
      <c r="AA113" s="47"/>
      <c r="AB113" s="51">
        <f t="shared" si="63"/>
        <v>31.643999999999998</v>
      </c>
      <c r="AC113" s="47">
        <f t="shared" si="51"/>
        <v>0</v>
      </c>
      <c r="AD113" s="47">
        <v>4.2839999999999998</v>
      </c>
      <c r="AE113" s="47"/>
      <c r="AF113" s="47">
        <f t="shared" si="52"/>
        <v>27.36</v>
      </c>
      <c r="AG113" s="47">
        <v>22800</v>
      </c>
      <c r="AH113" s="47"/>
      <c r="AI113" s="47">
        <f t="shared" ref="AI113:AI118" si="71">ROUND(2.59*(I113+J113+K113),4)+L113*2.59*0.4</f>
        <v>57.497999999999998</v>
      </c>
      <c r="AJ113" s="53">
        <v>26.995799999999999</v>
      </c>
      <c r="AK113" s="53">
        <v>269958</v>
      </c>
      <c r="AL113" s="47"/>
      <c r="AM113" s="47">
        <v>12.1584</v>
      </c>
      <c r="AN113" s="47">
        <v>11.451599999999999</v>
      </c>
      <c r="AO113" s="47">
        <v>114516</v>
      </c>
      <c r="AP113" s="47">
        <v>0.70679999999999998</v>
      </c>
      <c r="AQ113" s="47">
        <v>7068</v>
      </c>
      <c r="AR113" s="47"/>
      <c r="AS113" s="47">
        <v>1.8376999999999999</v>
      </c>
      <c r="AT113" s="47">
        <v>0.84819999999999995</v>
      </c>
      <c r="AU113" s="47">
        <v>8482</v>
      </c>
      <c r="AV113" s="47">
        <v>0.98950000000000005</v>
      </c>
      <c r="AW113" s="47">
        <v>9895</v>
      </c>
      <c r="AX113" s="47">
        <v>20.2468</v>
      </c>
      <c r="AY113" s="47"/>
      <c r="AZ113" s="47"/>
      <c r="BA113" s="54">
        <v>1E-4</v>
      </c>
      <c r="BB113" s="55" t="s">
        <v>240</v>
      </c>
      <c r="BC113" s="51">
        <f t="shared" si="61"/>
        <v>44.16</v>
      </c>
      <c r="BD113" s="47">
        <f t="shared" si="64"/>
        <v>20.16</v>
      </c>
      <c r="BE113" s="47">
        <f t="shared" si="62"/>
        <v>0</v>
      </c>
      <c r="BF113" s="47"/>
      <c r="BG113" s="56">
        <v>24</v>
      </c>
      <c r="BH113" s="47"/>
      <c r="BI113" s="51">
        <f t="shared" si="42"/>
        <v>0.82799999999999996</v>
      </c>
      <c r="BJ113" s="51">
        <f t="shared" si="43"/>
        <v>0</v>
      </c>
      <c r="BK113" s="47"/>
      <c r="BL113" s="47"/>
      <c r="BM113" s="47"/>
      <c r="BN113" s="47"/>
      <c r="BO113" s="47"/>
      <c r="BP113" s="68">
        <v>0.82799999999999996</v>
      </c>
      <c r="BQ113" s="47"/>
      <c r="BR113" s="47"/>
      <c r="BS113" s="53"/>
      <c r="BT113" s="47"/>
      <c r="BU113" s="47"/>
      <c r="BV113" s="47"/>
      <c r="BW113" s="47"/>
      <c r="BX113" s="47"/>
      <c r="BY113" s="47"/>
      <c r="BZ113" s="47"/>
      <c r="CA113" s="47"/>
      <c r="CB113" s="54">
        <f t="shared" si="65"/>
        <v>309.29430000000002</v>
      </c>
    </row>
    <row r="114" spans="1:80" ht="14.25" customHeight="1">
      <c r="A114" s="47">
        <v>107</v>
      </c>
      <c r="B114" s="47" t="s">
        <v>129</v>
      </c>
      <c r="C114" s="48">
        <v>502004</v>
      </c>
      <c r="D114" s="71" t="s">
        <v>241</v>
      </c>
      <c r="E114" s="49" t="s">
        <v>150</v>
      </c>
      <c r="F114" s="50">
        <f t="shared" si="45"/>
        <v>20</v>
      </c>
      <c r="G114" s="50"/>
      <c r="H114" s="50"/>
      <c r="I114" s="50">
        <v>9</v>
      </c>
      <c r="J114" s="50">
        <v>11</v>
      </c>
      <c r="K114" s="50"/>
      <c r="L114" s="50">
        <v>13</v>
      </c>
      <c r="M114" s="50"/>
      <c r="N114" s="50">
        <v>29</v>
      </c>
      <c r="O114" s="50">
        <f t="shared" si="46"/>
        <v>62</v>
      </c>
      <c r="P114" s="51">
        <f t="shared" si="34"/>
        <v>317.26069999999999</v>
      </c>
      <c r="Q114" s="51">
        <f t="shared" si="35"/>
        <v>298.0607</v>
      </c>
      <c r="R114" s="47">
        <f t="shared" si="47"/>
        <v>76089</v>
      </c>
      <c r="S114" s="58"/>
      <c r="T114" s="58">
        <v>76089</v>
      </c>
      <c r="U114" s="47">
        <f t="shared" si="70"/>
        <v>117.3068</v>
      </c>
      <c r="V114" s="51">
        <f t="shared" si="2"/>
        <v>20.23</v>
      </c>
      <c r="W114" s="47">
        <f t="shared" si="49"/>
        <v>0</v>
      </c>
      <c r="X114" s="67">
        <v>20.23</v>
      </c>
      <c r="Y114" s="47"/>
      <c r="Z114" s="47"/>
      <c r="AA114" s="47"/>
      <c r="AB114" s="51">
        <f t="shared" si="63"/>
        <v>32.880000000000003</v>
      </c>
      <c r="AC114" s="47">
        <f t="shared" si="51"/>
        <v>0</v>
      </c>
      <c r="AD114" s="47">
        <v>4.08</v>
      </c>
      <c r="AE114" s="47"/>
      <c r="AF114" s="47">
        <f t="shared" si="52"/>
        <v>28.8</v>
      </c>
      <c r="AG114" s="47">
        <v>24000</v>
      </c>
      <c r="AH114" s="47"/>
      <c r="AI114" s="47">
        <f t="shared" si="71"/>
        <v>65.268000000000001</v>
      </c>
      <c r="AJ114" s="53">
        <v>27.505099999999999</v>
      </c>
      <c r="AK114" s="53">
        <v>275051</v>
      </c>
      <c r="AL114" s="47"/>
      <c r="AM114" s="47">
        <v>12.381600000000001</v>
      </c>
      <c r="AN114" s="47">
        <v>11.666</v>
      </c>
      <c r="AO114" s="47">
        <v>116660</v>
      </c>
      <c r="AP114" s="47">
        <v>0.71550000000000002</v>
      </c>
      <c r="AQ114" s="47">
        <v>7155</v>
      </c>
      <c r="AR114" s="47"/>
      <c r="AS114" s="47">
        <v>1.8604000000000001</v>
      </c>
      <c r="AT114" s="47">
        <v>0.85860000000000003</v>
      </c>
      <c r="AU114" s="47">
        <v>8586</v>
      </c>
      <c r="AV114" s="47">
        <v>1.0017</v>
      </c>
      <c r="AW114" s="47">
        <v>10017</v>
      </c>
      <c r="AX114" s="47">
        <v>20.628799999999998</v>
      </c>
      <c r="AY114" s="47"/>
      <c r="AZ114" s="47"/>
      <c r="BA114" s="54">
        <v>1E-4</v>
      </c>
      <c r="BB114" s="71" t="s">
        <v>241</v>
      </c>
      <c r="BC114" s="51">
        <f t="shared" si="61"/>
        <v>19.2</v>
      </c>
      <c r="BD114" s="47">
        <f t="shared" si="64"/>
        <v>19.2</v>
      </c>
      <c r="BE114" s="47">
        <f t="shared" si="62"/>
        <v>0</v>
      </c>
      <c r="BF114" s="47"/>
      <c r="BG114" s="56">
        <v>0</v>
      </c>
      <c r="BH114" s="47"/>
      <c r="BI114" s="51">
        <f t="shared" si="42"/>
        <v>0</v>
      </c>
      <c r="BJ114" s="51">
        <f t="shared" si="43"/>
        <v>0</v>
      </c>
      <c r="BK114" s="47"/>
      <c r="BL114" s="47"/>
      <c r="BM114" s="47"/>
      <c r="BN114" s="47"/>
      <c r="BO114" s="47"/>
      <c r="BP114" s="47"/>
      <c r="BQ114" s="47"/>
      <c r="BR114" s="47"/>
      <c r="BS114" s="53"/>
      <c r="BT114" s="47"/>
      <c r="BU114" s="47"/>
      <c r="BV114" s="47"/>
      <c r="BW114" s="47"/>
      <c r="BX114" s="47"/>
      <c r="BY114" s="47"/>
      <c r="BZ114" s="47"/>
      <c r="CA114" s="47"/>
      <c r="CB114" s="54">
        <f t="shared" si="65"/>
        <v>317.26069999999999</v>
      </c>
    </row>
    <row r="115" spans="1:80" ht="14.25" customHeight="1">
      <c r="A115" s="47">
        <v>108</v>
      </c>
      <c r="B115" s="47" t="s">
        <v>129</v>
      </c>
      <c r="C115" s="48">
        <v>502005</v>
      </c>
      <c r="D115" s="71" t="s">
        <v>242</v>
      </c>
      <c r="E115" s="49" t="s">
        <v>150</v>
      </c>
      <c r="F115" s="50">
        <f t="shared" si="45"/>
        <v>20</v>
      </c>
      <c r="G115" s="50"/>
      <c r="H115" s="50"/>
      <c r="I115" s="50">
        <v>8</v>
      </c>
      <c r="J115" s="50">
        <v>12</v>
      </c>
      <c r="K115" s="50"/>
      <c r="L115" s="50">
        <v>5</v>
      </c>
      <c r="M115" s="50"/>
      <c r="N115" s="50">
        <v>35</v>
      </c>
      <c r="O115" s="50">
        <f t="shared" si="46"/>
        <v>60</v>
      </c>
      <c r="P115" s="51">
        <f t="shared" si="34"/>
        <v>289.40729999999996</v>
      </c>
      <c r="Q115" s="51">
        <f t="shared" si="35"/>
        <v>269.4513</v>
      </c>
      <c r="R115" s="47">
        <f t="shared" si="47"/>
        <v>71546</v>
      </c>
      <c r="S115" s="58"/>
      <c r="T115" s="58">
        <v>71546</v>
      </c>
      <c r="U115" s="47">
        <f t="shared" si="70"/>
        <v>95.855199999999996</v>
      </c>
      <c r="V115" s="51">
        <f t="shared" si="2"/>
        <v>20.376000000000001</v>
      </c>
      <c r="W115" s="47">
        <f t="shared" si="49"/>
        <v>0</v>
      </c>
      <c r="X115" s="67">
        <v>20.376000000000001</v>
      </c>
      <c r="Y115" s="47"/>
      <c r="Z115" s="47"/>
      <c r="AA115" s="47"/>
      <c r="AB115" s="51">
        <f t="shared" si="63"/>
        <v>32.880000000000003</v>
      </c>
      <c r="AC115" s="47">
        <f t="shared" si="51"/>
        <v>0</v>
      </c>
      <c r="AD115" s="47">
        <v>4.08</v>
      </c>
      <c r="AE115" s="47"/>
      <c r="AF115" s="47">
        <f t="shared" si="52"/>
        <v>28.8</v>
      </c>
      <c r="AG115" s="47">
        <v>24000</v>
      </c>
      <c r="AH115" s="47"/>
      <c r="AI115" s="47">
        <f t="shared" si="71"/>
        <v>56.98</v>
      </c>
      <c r="AJ115" s="53">
        <v>26.6328</v>
      </c>
      <c r="AK115" s="53">
        <v>266328</v>
      </c>
      <c r="AL115" s="47"/>
      <c r="AM115" s="47">
        <v>11.963200000000001</v>
      </c>
      <c r="AN115" s="47">
        <v>11.274900000000001</v>
      </c>
      <c r="AO115" s="47">
        <v>112749</v>
      </c>
      <c r="AP115" s="47">
        <v>0.68830000000000002</v>
      </c>
      <c r="AQ115" s="47">
        <v>6883</v>
      </c>
      <c r="AR115" s="47"/>
      <c r="AS115" s="47">
        <v>1.7895000000000001</v>
      </c>
      <c r="AT115" s="47">
        <v>0.82589999999999997</v>
      </c>
      <c r="AU115" s="47">
        <v>8259</v>
      </c>
      <c r="AV115" s="47">
        <v>0.96360000000000001</v>
      </c>
      <c r="AW115" s="47">
        <v>9636</v>
      </c>
      <c r="AX115" s="47">
        <v>19.974599999999999</v>
      </c>
      <c r="AY115" s="47"/>
      <c r="AZ115" s="47">
        <v>3</v>
      </c>
      <c r="BA115" s="54">
        <v>1E-4</v>
      </c>
      <c r="BB115" s="71" t="s">
        <v>242</v>
      </c>
      <c r="BC115" s="51">
        <f t="shared" si="61"/>
        <v>19.2</v>
      </c>
      <c r="BD115" s="47">
        <f t="shared" si="64"/>
        <v>19.2</v>
      </c>
      <c r="BE115" s="47">
        <f t="shared" si="62"/>
        <v>0</v>
      </c>
      <c r="BF115" s="47"/>
      <c r="BG115" s="56">
        <v>0</v>
      </c>
      <c r="BH115" s="47"/>
      <c r="BI115" s="51">
        <f t="shared" si="42"/>
        <v>0.75600000000000001</v>
      </c>
      <c r="BJ115" s="51">
        <f t="shared" si="43"/>
        <v>0</v>
      </c>
      <c r="BK115" s="47"/>
      <c r="BL115" s="47"/>
      <c r="BM115" s="47"/>
      <c r="BN115" s="47"/>
      <c r="BO115" s="47"/>
      <c r="BP115" s="68">
        <v>0.75600000000000001</v>
      </c>
      <c r="BQ115" s="47"/>
      <c r="BR115" s="47"/>
      <c r="BS115" s="53"/>
      <c r="BT115" s="47"/>
      <c r="BU115" s="47"/>
      <c r="BV115" s="47"/>
      <c r="BW115" s="47"/>
      <c r="BX115" s="47"/>
      <c r="BY115" s="47"/>
      <c r="BZ115" s="47"/>
      <c r="CA115" s="47"/>
      <c r="CB115" s="54">
        <f t="shared" si="65"/>
        <v>289.40729999999996</v>
      </c>
    </row>
    <row r="116" spans="1:80" ht="14.25" customHeight="1">
      <c r="A116" s="47">
        <v>109</v>
      </c>
      <c r="B116" s="47" t="s">
        <v>129</v>
      </c>
      <c r="C116" s="48">
        <v>502006</v>
      </c>
      <c r="D116" s="71" t="s">
        <v>243</v>
      </c>
      <c r="E116" s="49" t="s">
        <v>150</v>
      </c>
      <c r="F116" s="50">
        <f t="shared" si="45"/>
        <v>15</v>
      </c>
      <c r="G116" s="50"/>
      <c r="H116" s="50"/>
      <c r="I116" s="50">
        <v>15</v>
      </c>
      <c r="J116" s="50"/>
      <c r="K116" s="50"/>
      <c r="L116" s="50">
        <v>2</v>
      </c>
      <c r="M116" s="50"/>
      <c r="N116" s="50">
        <v>11</v>
      </c>
      <c r="O116" s="50">
        <f t="shared" si="46"/>
        <v>28</v>
      </c>
      <c r="P116" s="51">
        <f t="shared" si="34"/>
        <v>206.32929999999999</v>
      </c>
      <c r="Q116" s="51">
        <f t="shared" si="35"/>
        <v>191.92929999999998</v>
      </c>
      <c r="R116" s="47">
        <f t="shared" si="47"/>
        <v>52126</v>
      </c>
      <c r="S116" s="58"/>
      <c r="T116" s="58">
        <v>52126</v>
      </c>
      <c r="U116" s="47">
        <f t="shared" si="70"/>
        <v>66.551199999999994</v>
      </c>
      <c r="V116" s="51">
        <f t="shared" si="2"/>
        <v>15.336</v>
      </c>
      <c r="W116" s="47">
        <f t="shared" si="49"/>
        <v>0</v>
      </c>
      <c r="X116" s="67">
        <v>15.336</v>
      </c>
      <c r="Y116" s="47"/>
      <c r="Z116" s="47"/>
      <c r="AA116" s="47"/>
      <c r="AB116" s="51">
        <f t="shared" si="63"/>
        <v>24.66</v>
      </c>
      <c r="AC116" s="47">
        <f t="shared" si="51"/>
        <v>0</v>
      </c>
      <c r="AD116" s="47">
        <v>3.06</v>
      </c>
      <c r="AE116" s="47"/>
      <c r="AF116" s="47">
        <f t="shared" si="52"/>
        <v>21.6</v>
      </c>
      <c r="AG116" s="47">
        <v>18000</v>
      </c>
      <c r="AH116" s="47"/>
      <c r="AI116" s="47">
        <f t="shared" si="71"/>
        <v>40.922000000000004</v>
      </c>
      <c r="AJ116" s="53">
        <v>19.680199999999999</v>
      </c>
      <c r="AK116" s="53">
        <v>196802</v>
      </c>
      <c r="AL116" s="47"/>
      <c r="AM116" s="47">
        <v>8.7015999999999991</v>
      </c>
      <c r="AN116" s="47">
        <v>8.1945999999999994</v>
      </c>
      <c r="AO116" s="47">
        <v>81946</v>
      </c>
      <c r="AP116" s="47">
        <v>0.50700000000000001</v>
      </c>
      <c r="AQ116" s="47">
        <v>5070</v>
      </c>
      <c r="AR116" s="47"/>
      <c r="AS116" s="47">
        <v>1.3182</v>
      </c>
      <c r="AT116" s="47">
        <v>0.60840000000000005</v>
      </c>
      <c r="AU116" s="47">
        <v>6084</v>
      </c>
      <c r="AV116" s="47">
        <v>0.70979999999999999</v>
      </c>
      <c r="AW116" s="47">
        <v>7098</v>
      </c>
      <c r="AX116" s="47">
        <v>14.7601</v>
      </c>
      <c r="AY116" s="47"/>
      <c r="AZ116" s="47"/>
      <c r="BA116" s="54">
        <v>1E-4</v>
      </c>
      <c r="BB116" s="71" t="s">
        <v>243</v>
      </c>
      <c r="BC116" s="51">
        <f t="shared" si="61"/>
        <v>14.399999999999999</v>
      </c>
      <c r="BD116" s="47">
        <f t="shared" si="64"/>
        <v>14.399999999999999</v>
      </c>
      <c r="BE116" s="47">
        <f t="shared" si="62"/>
        <v>0</v>
      </c>
      <c r="BF116" s="47"/>
      <c r="BG116" s="56">
        <v>0</v>
      </c>
      <c r="BH116" s="47"/>
      <c r="BI116" s="51">
        <f t="shared" si="42"/>
        <v>0</v>
      </c>
      <c r="BJ116" s="51">
        <f t="shared" si="43"/>
        <v>0</v>
      </c>
      <c r="BK116" s="47"/>
      <c r="BL116" s="47"/>
      <c r="BM116" s="47"/>
      <c r="BN116" s="47"/>
      <c r="BO116" s="47"/>
      <c r="BP116" s="47"/>
      <c r="BQ116" s="47"/>
      <c r="BR116" s="47"/>
      <c r="BS116" s="53"/>
      <c r="BT116" s="47"/>
      <c r="BU116" s="47"/>
      <c r="BV116" s="47"/>
      <c r="BW116" s="47"/>
      <c r="BX116" s="47"/>
      <c r="BY116" s="47"/>
      <c r="BZ116" s="47"/>
      <c r="CA116" s="47"/>
      <c r="CB116" s="54">
        <f t="shared" si="65"/>
        <v>206.32929999999999</v>
      </c>
    </row>
    <row r="117" spans="1:80" ht="14.25" customHeight="1">
      <c r="A117" s="47">
        <v>110</v>
      </c>
      <c r="B117" s="47" t="s">
        <v>129</v>
      </c>
      <c r="C117" s="48">
        <v>502007</v>
      </c>
      <c r="D117" s="71" t="s">
        <v>244</v>
      </c>
      <c r="E117" s="49" t="s">
        <v>150</v>
      </c>
      <c r="F117" s="50">
        <f t="shared" si="45"/>
        <v>8</v>
      </c>
      <c r="G117" s="50"/>
      <c r="H117" s="50"/>
      <c r="I117" s="50">
        <v>4</v>
      </c>
      <c r="J117" s="50">
        <v>4</v>
      </c>
      <c r="K117" s="50"/>
      <c r="L117" s="50">
        <v>11</v>
      </c>
      <c r="M117" s="50"/>
      <c r="N117" s="50">
        <v>27</v>
      </c>
      <c r="O117" s="50">
        <f t="shared" si="46"/>
        <v>46</v>
      </c>
      <c r="P117" s="51">
        <f t="shared" si="34"/>
        <v>174.4042</v>
      </c>
      <c r="Q117" s="51">
        <f t="shared" si="35"/>
        <v>161.2122</v>
      </c>
      <c r="R117" s="47">
        <f t="shared" si="47"/>
        <v>30699</v>
      </c>
      <c r="S117" s="58"/>
      <c r="T117" s="58">
        <v>30699</v>
      </c>
      <c r="U117" s="47">
        <f t="shared" si="70"/>
        <v>58.838799999999999</v>
      </c>
      <c r="V117" s="51">
        <f t="shared" si="2"/>
        <v>7.92</v>
      </c>
      <c r="W117" s="47">
        <f t="shared" si="49"/>
        <v>0</v>
      </c>
      <c r="X117" s="67">
        <v>7.92</v>
      </c>
      <c r="Y117" s="47"/>
      <c r="Z117" s="47"/>
      <c r="AA117" s="47"/>
      <c r="AB117" s="51">
        <f t="shared" si="63"/>
        <v>13.151999999999999</v>
      </c>
      <c r="AC117" s="47">
        <f t="shared" si="51"/>
        <v>0</v>
      </c>
      <c r="AD117" s="47">
        <v>1.6319999999999999</v>
      </c>
      <c r="AE117" s="47"/>
      <c r="AF117" s="47">
        <f t="shared" si="52"/>
        <v>11.52</v>
      </c>
      <c r="AG117" s="47">
        <v>9600</v>
      </c>
      <c r="AH117" s="47"/>
      <c r="AI117" s="47">
        <f t="shared" si="71"/>
        <v>32.116</v>
      </c>
      <c r="AJ117" s="53">
        <v>11.0526</v>
      </c>
      <c r="AK117" s="53">
        <v>110526</v>
      </c>
      <c r="AL117" s="47"/>
      <c r="AM117" s="47">
        <v>5.0949999999999998</v>
      </c>
      <c r="AN117" s="47">
        <v>4.8071999999999999</v>
      </c>
      <c r="AO117" s="47">
        <v>48072</v>
      </c>
      <c r="AP117" s="47">
        <v>0.2878</v>
      </c>
      <c r="AQ117" s="47">
        <v>2878</v>
      </c>
      <c r="AR117" s="47"/>
      <c r="AS117" s="47">
        <v>0.74829999999999997</v>
      </c>
      <c r="AT117" s="47">
        <v>0.34539999999999998</v>
      </c>
      <c r="AU117" s="47">
        <v>3454</v>
      </c>
      <c r="AV117" s="47">
        <v>0.40289999999999998</v>
      </c>
      <c r="AW117" s="47">
        <v>4029</v>
      </c>
      <c r="AX117" s="47">
        <v>8.2895000000000003</v>
      </c>
      <c r="AY117" s="47"/>
      <c r="AZ117" s="47">
        <v>24</v>
      </c>
      <c r="BA117" s="54">
        <v>1E-4</v>
      </c>
      <c r="BB117" s="71" t="s">
        <v>244</v>
      </c>
      <c r="BC117" s="51">
        <f t="shared" si="61"/>
        <v>11.68</v>
      </c>
      <c r="BD117" s="47">
        <f t="shared" si="64"/>
        <v>7.68</v>
      </c>
      <c r="BE117" s="47">
        <f t="shared" si="62"/>
        <v>0</v>
      </c>
      <c r="BF117" s="47"/>
      <c r="BG117" s="56">
        <v>4</v>
      </c>
      <c r="BH117" s="47"/>
      <c r="BI117" s="51">
        <f t="shared" si="42"/>
        <v>1.512</v>
      </c>
      <c r="BJ117" s="51">
        <f t="shared" si="43"/>
        <v>0</v>
      </c>
      <c r="BK117" s="47"/>
      <c r="BL117" s="47"/>
      <c r="BM117" s="47"/>
      <c r="BN117" s="47"/>
      <c r="BO117" s="47"/>
      <c r="BP117" s="68">
        <v>1.512</v>
      </c>
      <c r="BQ117" s="47"/>
      <c r="BR117" s="47"/>
      <c r="BS117" s="53"/>
      <c r="BT117" s="47"/>
      <c r="BU117" s="47"/>
      <c r="BV117" s="47"/>
      <c r="BW117" s="47"/>
      <c r="BX117" s="47"/>
      <c r="BY117" s="47"/>
      <c r="BZ117" s="47"/>
      <c r="CA117" s="47"/>
      <c r="CB117" s="54">
        <f t="shared" si="65"/>
        <v>174.4042</v>
      </c>
    </row>
    <row r="118" spans="1:80" ht="14.25" customHeight="1">
      <c r="A118" s="47">
        <v>111</v>
      </c>
      <c r="B118" s="47" t="s">
        <v>129</v>
      </c>
      <c r="C118" s="48">
        <v>502008</v>
      </c>
      <c r="D118" s="49" t="s">
        <v>245</v>
      </c>
      <c r="E118" s="49" t="s">
        <v>150</v>
      </c>
      <c r="F118" s="50">
        <f t="shared" si="45"/>
        <v>5</v>
      </c>
      <c r="G118" s="50"/>
      <c r="H118" s="50"/>
      <c r="I118" s="50">
        <v>4</v>
      </c>
      <c r="J118" s="50">
        <v>1</v>
      </c>
      <c r="K118" s="50"/>
      <c r="L118" s="50">
        <v>1</v>
      </c>
      <c r="M118" s="50"/>
      <c r="N118" s="50">
        <v>5</v>
      </c>
      <c r="O118" s="50">
        <f t="shared" si="46"/>
        <v>11</v>
      </c>
      <c r="P118" s="51">
        <f t="shared" si="34"/>
        <v>88.678299999999993</v>
      </c>
      <c r="Q118" s="51">
        <f t="shared" si="35"/>
        <v>60.878299999999996</v>
      </c>
      <c r="R118" s="47">
        <f t="shared" si="47"/>
        <v>18592</v>
      </c>
      <c r="S118" s="58"/>
      <c r="T118" s="58">
        <v>18592</v>
      </c>
      <c r="U118" s="47">
        <f t="shared" si="70"/>
        <v>24.310400000000001</v>
      </c>
      <c r="V118" s="51">
        <f t="shared" si="2"/>
        <v>0</v>
      </c>
      <c r="W118" s="47">
        <f t="shared" si="49"/>
        <v>0</v>
      </c>
      <c r="X118" s="47"/>
      <c r="Y118" s="47"/>
      <c r="Z118" s="47"/>
      <c r="AA118" s="47"/>
      <c r="AB118" s="51">
        <f t="shared" si="63"/>
        <v>7.2</v>
      </c>
      <c r="AC118" s="47">
        <f t="shared" si="51"/>
        <v>0</v>
      </c>
      <c r="AD118" s="47"/>
      <c r="AE118" s="47"/>
      <c r="AF118" s="47">
        <f t="shared" si="52"/>
        <v>7.2</v>
      </c>
      <c r="AG118" s="47">
        <v>6000</v>
      </c>
      <c r="AH118" s="47"/>
      <c r="AI118" s="47">
        <f t="shared" si="71"/>
        <v>13.985999999999999</v>
      </c>
      <c r="AJ118" s="53">
        <v>6.7937000000000003</v>
      </c>
      <c r="AK118" s="53">
        <v>67937</v>
      </c>
      <c r="AL118" s="47"/>
      <c r="AM118" s="47">
        <v>3.0346000000000002</v>
      </c>
      <c r="AN118" s="47">
        <v>2.8582999999999998</v>
      </c>
      <c r="AO118" s="47">
        <v>28583</v>
      </c>
      <c r="AP118" s="47">
        <v>0.17630000000000001</v>
      </c>
      <c r="AQ118" s="47">
        <v>1763</v>
      </c>
      <c r="AR118" s="47"/>
      <c r="AS118" s="47">
        <v>0.45839999999999997</v>
      </c>
      <c r="AT118" s="47">
        <v>0.21160000000000001</v>
      </c>
      <c r="AU118" s="47">
        <v>2116</v>
      </c>
      <c r="AV118" s="47">
        <v>0.24679999999999999</v>
      </c>
      <c r="AW118" s="47">
        <v>2468</v>
      </c>
      <c r="AX118" s="47">
        <v>5.0952000000000002</v>
      </c>
      <c r="AY118" s="47"/>
      <c r="AZ118" s="47"/>
      <c r="BA118" s="54">
        <v>1E-4</v>
      </c>
      <c r="BB118" s="55" t="s">
        <v>245</v>
      </c>
      <c r="BC118" s="51">
        <f t="shared" si="61"/>
        <v>27.8</v>
      </c>
      <c r="BD118" s="47">
        <f t="shared" si="64"/>
        <v>4.8</v>
      </c>
      <c r="BE118" s="47">
        <f t="shared" si="62"/>
        <v>0</v>
      </c>
      <c r="BF118" s="47"/>
      <c r="BG118" s="56">
        <v>23</v>
      </c>
      <c r="BH118" s="47"/>
      <c r="BI118" s="51">
        <f t="shared" si="42"/>
        <v>0</v>
      </c>
      <c r="BJ118" s="51">
        <f t="shared" si="43"/>
        <v>0</v>
      </c>
      <c r="BK118" s="47"/>
      <c r="BL118" s="47"/>
      <c r="BM118" s="47"/>
      <c r="BN118" s="47"/>
      <c r="BO118" s="47"/>
      <c r="BP118" s="47"/>
      <c r="BQ118" s="47"/>
      <c r="BR118" s="47"/>
      <c r="BS118" s="53"/>
      <c r="BT118" s="47"/>
      <c r="BU118" s="47"/>
      <c r="BV118" s="47"/>
      <c r="BW118" s="47"/>
      <c r="BX118" s="47"/>
      <c r="BY118" s="47"/>
      <c r="BZ118" s="47"/>
      <c r="CA118" s="47"/>
      <c r="CB118" s="54">
        <f t="shared" si="65"/>
        <v>88.678299999999993</v>
      </c>
    </row>
    <row r="119" spans="1:80" ht="14.25" customHeight="1">
      <c r="A119" s="47">
        <v>112</v>
      </c>
      <c r="B119" s="47" t="s">
        <v>129</v>
      </c>
      <c r="C119" s="48">
        <v>602001</v>
      </c>
      <c r="D119" s="49" t="s">
        <v>246</v>
      </c>
      <c r="E119" s="49" t="s">
        <v>131</v>
      </c>
      <c r="F119" s="50">
        <f t="shared" si="45"/>
        <v>28</v>
      </c>
      <c r="G119" s="50">
        <v>13</v>
      </c>
      <c r="H119" s="50">
        <v>4</v>
      </c>
      <c r="I119" s="50">
        <v>11</v>
      </c>
      <c r="J119" s="50"/>
      <c r="K119" s="50"/>
      <c r="L119" s="50"/>
      <c r="M119" s="50"/>
      <c r="N119" s="50">
        <v>23</v>
      </c>
      <c r="O119" s="50">
        <f t="shared" si="46"/>
        <v>51</v>
      </c>
      <c r="P119" s="51">
        <f t="shared" si="34"/>
        <v>424.37420000000003</v>
      </c>
      <c r="Q119" s="51">
        <f t="shared" si="35"/>
        <v>303.6542</v>
      </c>
      <c r="R119" s="47">
        <f t="shared" si="47"/>
        <v>89686</v>
      </c>
      <c r="S119" s="58">
        <v>56394</v>
      </c>
      <c r="T119" s="51">
        <v>33292</v>
      </c>
      <c r="U119" s="47">
        <f t="shared" si="48"/>
        <v>107.6232</v>
      </c>
      <c r="V119" s="51">
        <f t="shared" si="2"/>
        <v>38.25</v>
      </c>
      <c r="W119" s="47">
        <f t="shared" si="49"/>
        <v>38.25</v>
      </c>
      <c r="X119" s="47"/>
      <c r="Y119" s="47"/>
      <c r="Z119" s="47"/>
      <c r="AA119" s="47"/>
      <c r="AB119" s="51">
        <f t="shared" si="63"/>
        <v>49.961400000000005</v>
      </c>
      <c r="AC119" s="47">
        <f t="shared" si="51"/>
        <v>5.6394000000000002</v>
      </c>
      <c r="AD119" s="47"/>
      <c r="AE119" s="47"/>
      <c r="AF119" s="47">
        <f t="shared" si="52"/>
        <v>44.322000000000003</v>
      </c>
      <c r="AG119" s="47">
        <v>36935</v>
      </c>
      <c r="AH119" s="47"/>
      <c r="AI119" s="47">
        <f t="shared" si="53"/>
        <v>28.49</v>
      </c>
      <c r="AJ119" s="53">
        <f t="shared" si="54"/>
        <v>35.8919</v>
      </c>
      <c r="AK119" s="53">
        <f t="shared" si="55"/>
        <v>358919</v>
      </c>
      <c r="AL119" s="47"/>
      <c r="AM119" s="47">
        <f t="shared" si="66"/>
        <v>14.993399999999999</v>
      </c>
      <c r="AN119" s="47">
        <f t="shared" si="67"/>
        <v>14.121600000000001</v>
      </c>
      <c r="AO119" s="47">
        <f t="shared" si="56"/>
        <v>141216</v>
      </c>
      <c r="AP119" s="47">
        <f t="shared" si="38"/>
        <v>0.87180000000000002</v>
      </c>
      <c r="AQ119" s="47">
        <f t="shared" si="57"/>
        <v>8718</v>
      </c>
      <c r="AR119" s="47"/>
      <c r="AS119" s="47">
        <f t="shared" si="58"/>
        <v>1.5253000000000001</v>
      </c>
      <c r="AT119" s="47">
        <f t="shared" si="68"/>
        <v>1.0462</v>
      </c>
      <c r="AU119" s="47">
        <f t="shared" si="59"/>
        <v>10462</v>
      </c>
      <c r="AV119" s="47">
        <f t="shared" si="69"/>
        <v>0.47910000000000003</v>
      </c>
      <c r="AW119" s="47">
        <f t="shared" si="60"/>
        <v>4791</v>
      </c>
      <c r="AX119" s="47">
        <f t="shared" ref="AX119:AX123" si="72">ROUND((U119+W119+AC119+AE119+AF119+AI119)*0.12,4)</f>
        <v>26.919</v>
      </c>
      <c r="AY119" s="47"/>
      <c r="AZ119" s="47"/>
      <c r="BA119" s="54">
        <v>1E-4</v>
      </c>
      <c r="BB119" s="55" t="s">
        <v>246</v>
      </c>
      <c r="BC119" s="51">
        <f t="shared" si="61"/>
        <v>114.78</v>
      </c>
      <c r="BD119" s="47">
        <f t="shared" si="64"/>
        <v>30.959999999999997</v>
      </c>
      <c r="BE119" s="47">
        <f t="shared" si="62"/>
        <v>11.82</v>
      </c>
      <c r="BF119" s="47">
        <v>9850</v>
      </c>
      <c r="BG119" s="56">
        <v>72</v>
      </c>
      <c r="BH119" s="47"/>
      <c r="BI119" s="51">
        <f t="shared" si="42"/>
        <v>5.94</v>
      </c>
      <c r="BJ119" s="51">
        <f t="shared" si="43"/>
        <v>0</v>
      </c>
      <c r="BK119" s="47"/>
      <c r="BL119" s="47"/>
      <c r="BM119" s="47"/>
      <c r="BN119" s="47"/>
      <c r="BO119" s="47"/>
      <c r="BP119" s="68">
        <v>5.94</v>
      </c>
      <c r="BQ119" s="47"/>
      <c r="BR119" s="47"/>
      <c r="BS119" s="53"/>
      <c r="BT119" s="47"/>
      <c r="BU119" s="47"/>
      <c r="BV119" s="47"/>
      <c r="BW119" s="47"/>
      <c r="BX119" s="47"/>
      <c r="BY119" s="47"/>
      <c r="BZ119" s="47"/>
      <c r="CA119" s="47"/>
      <c r="CB119" s="54">
        <f t="shared" si="65"/>
        <v>424.37420000000003</v>
      </c>
    </row>
    <row r="120" spans="1:80" ht="14.25" customHeight="1">
      <c r="A120" s="47">
        <v>113</v>
      </c>
      <c r="B120" s="47" t="s">
        <v>129</v>
      </c>
      <c r="C120" s="48">
        <v>603001</v>
      </c>
      <c r="D120" s="49" t="s">
        <v>247</v>
      </c>
      <c r="E120" s="49" t="s">
        <v>131</v>
      </c>
      <c r="F120" s="50">
        <f t="shared" si="45"/>
        <v>38</v>
      </c>
      <c r="G120" s="50">
        <v>16</v>
      </c>
      <c r="H120" s="50">
        <v>4</v>
      </c>
      <c r="I120" s="50">
        <v>13</v>
      </c>
      <c r="J120" s="50">
        <v>5</v>
      </c>
      <c r="K120" s="50"/>
      <c r="L120" s="50"/>
      <c r="M120" s="50"/>
      <c r="N120" s="50">
        <v>16</v>
      </c>
      <c r="O120" s="50">
        <f t="shared" si="46"/>
        <v>54</v>
      </c>
      <c r="P120" s="51">
        <f t="shared" si="34"/>
        <v>783.78570000000002</v>
      </c>
      <c r="Q120" s="51">
        <f t="shared" si="35"/>
        <v>609.84569999999997</v>
      </c>
      <c r="R120" s="47">
        <f t="shared" si="47"/>
        <v>123159</v>
      </c>
      <c r="S120" s="58">
        <v>71842</v>
      </c>
      <c r="T120" s="51">
        <v>51317</v>
      </c>
      <c r="U120" s="47">
        <f t="shared" si="48"/>
        <v>147.79079999999999</v>
      </c>
      <c r="V120" s="51">
        <f t="shared" si="2"/>
        <v>59</v>
      </c>
      <c r="W120" s="47">
        <f t="shared" si="49"/>
        <v>45</v>
      </c>
      <c r="X120" s="47"/>
      <c r="Y120" s="47"/>
      <c r="Z120" s="47"/>
      <c r="AA120" s="47">
        <v>14</v>
      </c>
      <c r="AB120" s="51">
        <f t="shared" si="63"/>
        <v>67.762600000000006</v>
      </c>
      <c r="AC120" s="47">
        <f t="shared" si="51"/>
        <v>7.1841999999999997</v>
      </c>
      <c r="AD120" s="47"/>
      <c r="AE120" s="47"/>
      <c r="AF120" s="47">
        <f t="shared" si="52"/>
        <v>60.578400000000002</v>
      </c>
      <c r="AG120" s="47">
        <v>50482</v>
      </c>
      <c r="AH120" s="47"/>
      <c r="AI120" s="47">
        <f t="shared" si="53"/>
        <v>46.62</v>
      </c>
      <c r="AJ120" s="53">
        <f t="shared" si="54"/>
        <v>49.1477</v>
      </c>
      <c r="AK120" s="53">
        <f t="shared" si="55"/>
        <v>491477</v>
      </c>
      <c r="AL120" s="47"/>
      <c r="AM120" s="47">
        <f t="shared" si="66"/>
        <v>20.469899999999999</v>
      </c>
      <c r="AN120" s="47">
        <f t="shared" si="67"/>
        <v>19.2729</v>
      </c>
      <c r="AO120" s="47">
        <f t="shared" si="56"/>
        <v>192729</v>
      </c>
      <c r="AP120" s="47">
        <f t="shared" si="38"/>
        <v>1.1971000000000001</v>
      </c>
      <c r="AQ120" s="47">
        <f t="shared" si="57"/>
        <v>11971</v>
      </c>
      <c r="AR120" s="47"/>
      <c r="AS120" s="47">
        <f t="shared" si="58"/>
        <v>2.1939000000000002</v>
      </c>
      <c r="AT120" s="47">
        <f t="shared" si="68"/>
        <v>1.4365000000000001</v>
      </c>
      <c r="AU120" s="47">
        <f t="shared" si="59"/>
        <v>14365.000000000002</v>
      </c>
      <c r="AV120" s="47">
        <f t="shared" si="69"/>
        <v>0.75739999999999996</v>
      </c>
      <c r="AW120" s="47">
        <f t="shared" si="60"/>
        <v>7574</v>
      </c>
      <c r="AX120" s="47">
        <f t="shared" si="72"/>
        <v>36.860799999999998</v>
      </c>
      <c r="AY120" s="47"/>
      <c r="AZ120" s="67">
        <v>180</v>
      </c>
      <c r="BA120" s="54">
        <v>1E-4</v>
      </c>
      <c r="BB120" s="55" t="s">
        <v>247</v>
      </c>
      <c r="BC120" s="51">
        <f t="shared" si="61"/>
        <v>157.316</v>
      </c>
      <c r="BD120" s="47">
        <f t="shared" si="64"/>
        <v>41.28</v>
      </c>
      <c r="BE120" s="47">
        <f t="shared" si="62"/>
        <v>15.036</v>
      </c>
      <c r="BF120" s="47">
        <v>12530</v>
      </c>
      <c r="BG120" s="56">
        <v>71</v>
      </c>
      <c r="BH120" s="47">
        <v>30</v>
      </c>
      <c r="BI120" s="51">
        <f t="shared" si="42"/>
        <v>16.623999999999999</v>
      </c>
      <c r="BJ120" s="51">
        <f t="shared" si="43"/>
        <v>0</v>
      </c>
      <c r="BK120" s="47"/>
      <c r="BL120" s="47"/>
      <c r="BM120" s="47"/>
      <c r="BN120" s="47"/>
      <c r="BO120" s="47"/>
      <c r="BP120" s="68">
        <v>6.6239999999999997</v>
      </c>
      <c r="BQ120" s="47"/>
      <c r="BR120" s="47"/>
      <c r="BS120" s="53"/>
      <c r="BT120" s="47"/>
      <c r="BU120" s="47"/>
      <c r="BV120" s="47"/>
      <c r="BW120" s="68">
        <v>10</v>
      </c>
      <c r="BX120" s="47"/>
      <c r="BY120" s="47"/>
      <c r="BZ120" s="47"/>
      <c r="CA120" s="47"/>
      <c r="CB120" s="54">
        <f t="shared" si="65"/>
        <v>783.78570000000002</v>
      </c>
    </row>
    <row r="121" spans="1:80" ht="14.25" customHeight="1">
      <c r="A121" s="47">
        <v>114</v>
      </c>
      <c r="B121" s="47" t="s">
        <v>129</v>
      </c>
      <c r="C121" s="48">
        <v>601001</v>
      </c>
      <c r="D121" s="49" t="s">
        <v>248</v>
      </c>
      <c r="E121" s="49" t="s">
        <v>131</v>
      </c>
      <c r="F121" s="50">
        <f t="shared" si="45"/>
        <v>36</v>
      </c>
      <c r="G121" s="50">
        <v>22</v>
      </c>
      <c r="H121" s="50">
        <v>5</v>
      </c>
      <c r="I121" s="50">
        <v>9</v>
      </c>
      <c r="J121" s="50"/>
      <c r="K121" s="50"/>
      <c r="L121" s="50"/>
      <c r="M121" s="50">
        <v>1</v>
      </c>
      <c r="N121" s="50">
        <v>57</v>
      </c>
      <c r="O121" s="50">
        <f t="shared" si="46"/>
        <v>94</v>
      </c>
      <c r="P121" s="51">
        <f t="shared" si="34"/>
        <v>617.03009999999995</v>
      </c>
      <c r="Q121" s="51">
        <f t="shared" si="35"/>
        <v>434.5761</v>
      </c>
      <c r="R121" s="47">
        <f t="shared" si="47"/>
        <v>137604</v>
      </c>
      <c r="S121" s="58">
        <v>112480</v>
      </c>
      <c r="T121" s="51">
        <v>25124</v>
      </c>
      <c r="U121" s="47">
        <f t="shared" si="48"/>
        <v>165.12479999999999</v>
      </c>
      <c r="V121" s="51">
        <f t="shared" si="2"/>
        <v>60.75</v>
      </c>
      <c r="W121" s="47">
        <f t="shared" si="49"/>
        <v>60.75</v>
      </c>
      <c r="X121" s="47"/>
      <c r="Y121" s="47"/>
      <c r="Z121" s="47"/>
      <c r="AA121" s="47"/>
      <c r="AB121" s="51">
        <f t="shared" si="63"/>
        <v>71.986000000000004</v>
      </c>
      <c r="AC121" s="47">
        <f t="shared" si="51"/>
        <v>11.247999999999999</v>
      </c>
      <c r="AD121" s="47"/>
      <c r="AE121" s="47"/>
      <c r="AF121" s="47">
        <f t="shared" si="52"/>
        <v>60.738</v>
      </c>
      <c r="AG121" s="47">
        <f>1200+44615+4800</f>
        <v>50615</v>
      </c>
      <c r="AH121" s="47"/>
      <c r="AI121" s="47">
        <f t="shared" si="53"/>
        <v>23.31</v>
      </c>
      <c r="AJ121" s="53">
        <f t="shared" si="54"/>
        <v>51.387300000000003</v>
      </c>
      <c r="AK121" s="53">
        <f t="shared" si="55"/>
        <v>513873.00000000006</v>
      </c>
      <c r="AL121" s="47"/>
      <c r="AM121" s="47">
        <f t="shared" si="66"/>
        <v>21.6082</v>
      </c>
      <c r="AN121" s="47">
        <f t="shared" si="67"/>
        <v>20.362300000000001</v>
      </c>
      <c r="AO121" s="47">
        <f t="shared" si="56"/>
        <v>203623</v>
      </c>
      <c r="AP121" s="47">
        <f t="shared" si="38"/>
        <v>1.2459</v>
      </c>
      <c r="AQ121" s="47">
        <f t="shared" si="57"/>
        <v>12459</v>
      </c>
      <c r="AR121" s="47"/>
      <c r="AS121" s="47">
        <f t="shared" si="58"/>
        <v>1.8693</v>
      </c>
      <c r="AT121" s="47">
        <f t="shared" si="68"/>
        <v>1.4951000000000001</v>
      </c>
      <c r="AU121" s="47">
        <f t="shared" si="59"/>
        <v>14951.000000000002</v>
      </c>
      <c r="AV121" s="47">
        <f t="shared" si="69"/>
        <v>0.37419999999999998</v>
      </c>
      <c r="AW121" s="47">
        <f t="shared" si="60"/>
        <v>3741.9999999999995</v>
      </c>
      <c r="AX121" s="47">
        <f t="shared" si="72"/>
        <v>38.540500000000002</v>
      </c>
      <c r="AY121" s="47"/>
      <c r="AZ121" s="47"/>
      <c r="BA121" s="54">
        <v>1E-4</v>
      </c>
      <c r="BB121" s="55" t="s">
        <v>248</v>
      </c>
      <c r="BC121" s="51">
        <f t="shared" si="61"/>
        <v>171.44400000000002</v>
      </c>
      <c r="BD121" s="47">
        <f t="shared" si="64"/>
        <v>41.04</v>
      </c>
      <c r="BE121" s="47">
        <f t="shared" si="62"/>
        <v>20.904</v>
      </c>
      <c r="BF121" s="47">
        <f>16870+550</f>
        <v>17420</v>
      </c>
      <c r="BG121" s="56">
        <v>108</v>
      </c>
      <c r="BH121" s="47">
        <v>1.5</v>
      </c>
      <c r="BI121" s="51">
        <f t="shared" si="42"/>
        <v>11.01</v>
      </c>
      <c r="BJ121" s="51">
        <f t="shared" si="43"/>
        <v>4.3860000000000001</v>
      </c>
      <c r="BK121" s="47"/>
      <c r="BL121" s="47">
        <v>4.3860000000000001</v>
      </c>
      <c r="BM121" s="47"/>
      <c r="BN121" s="47"/>
      <c r="BO121" s="47"/>
      <c r="BP121" s="68">
        <v>6.6239999999999997</v>
      </c>
      <c r="BQ121" s="68"/>
      <c r="BR121" s="47"/>
      <c r="BS121" s="53"/>
      <c r="BT121" s="47"/>
      <c r="BU121" s="47"/>
      <c r="BV121" s="47"/>
      <c r="BW121" s="68"/>
      <c r="BX121" s="47"/>
      <c r="BY121" s="47"/>
      <c r="BZ121" s="47"/>
      <c r="CA121" s="47"/>
      <c r="CB121" s="54">
        <f t="shared" si="65"/>
        <v>617.03009999999995</v>
      </c>
    </row>
    <row r="122" spans="1:80" ht="14.25" customHeight="1">
      <c r="A122" s="47">
        <v>115</v>
      </c>
      <c r="B122" s="47" t="s">
        <v>129</v>
      </c>
      <c r="C122" s="48">
        <v>604001</v>
      </c>
      <c r="D122" s="49" t="s">
        <v>249</v>
      </c>
      <c r="E122" s="49" t="s">
        <v>150</v>
      </c>
      <c r="F122" s="50">
        <f t="shared" si="45"/>
        <v>8</v>
      </c>
      <c r="G122" s="50"/>
      <c r="H122" s="50"/>
      <c r="I122" s="50">
        <v>8</v>
      </c>
      <c r="J122" s="50"/>
      <c r="K122" s="50"/>
      <c r="L122" s="50">
        <v>40</v>
      </c>
      <c r="M122" s="50"/>
      <c r="N122" s="50">
        <v>4</v>
      </c>
      <c r="O122" s="50">
        <f t="shared" si="46"/>
        <v>52</v>
      </c>
      <c r="P122" s="51">
        <f t="shared" si="34"/>
        <v>924.19281999999998</v>
      </c>
      <c r="Q122" s="51">
        <f t="shared" si="35"/>
        <v>575.51282000000003</v>
      </c>
      <c r="R122" s="47">
        <f t="shared" si="47"/>
        <v>33264</v>
      </c>
      <c r="S122" s="58"/>
      <c r="T122" s="51">
        <v>33264</v>
      </c>
      <c r="U122" s="47">
        <f>ROUND((1439532*0.85/10000+R122*12/10000),5)</f>
        <v>162.27701999999999</v>
      </c>
      <c r="V122" s="51">
        <f t="shared" si="2"/>
        <v>0</v>
      </c>
      <c r="W122" s="47">
        <f t="shared" si="49"/>
        <v>0</v>
      </c>
      <c r="X122" s="47"/>
      <c r="Y122" s="47"/>
      <c r="Z122" s="47"/>
      <c r="AA122" s="47"/>
      <c r="AB122" s="51">
        <f t="shared" si="63"/>
        <v>11.52</v>
      </c>
      <c r="AC122" s="47">
        <f t="shared" si="51"/>
        <v>0</v>
      </c>
      <c r="AD122" s="47"/>
      <c r="AE122" s="47"/>
      <c r="AF122" s="47">
        <f t="shared" si="52"/>
        <v>11.52</v>
      </c>
      <c r="AG122" s="47">
        <v>9600</v>
      </c>
      <c r="AH122" s="47"/>
      <c r="AI122" s="47">
        <f>ROUND((2.59*(I122+J122+K122)+(40*2.59)*0.4),4)</f>
        <v>62.16</v>
      </c>
      <c r="AJ122" s="53">
        <f>ROUND(((T122+119961)*12/10000+48*2.59+AF122)*0.16,4)</f>
        <v>51.153599999999997</v>
      </c>
      <c r="AK122" s="53">
        <f t="shared" si="55"/>
        <v>511536</v>
      </c>
      <c r="AL122" s="47">
        <f>ROUND((119961*12+40*25900)*0.08/10000,4)</f>
        <v>19.804300000000001</v>
      </c>
      <c r="AM122" s="47">
        <f>ROUND((((T122+119961)*12/10000+48*2.59)*0.085+N122*0.0075),4)</f>
        <v>26.226199999999999</v>
      </c>
      <c r="AN122" s="47">
        <f>ROUND((((T122+119961)*12/10000+48*2.59)*0.08+N122*0.0075),4)</f>
        <v>24.685199999999998</v>
      </c>
      <c r="AO122" s="47">
        <f t="shared" si="56"/>
        <v>246851.99999999997</v>
      </c>
      <c r="AP122" s="47">
        <f>ROUND((((T122+119961)*12/10000+48*2.59)*0.005),4)</f>
        <v>1.5409999999999999</v>
      </c>
      <c r="AQ122" s="47">
        <f t="shared" si="57"/>
        <v>15410</v>
      </c>
      <c r="AR122" s="47"/>
      <c r="AS122" s="47">
        <f>ROUND(((((T122+119961)*12/10000+48*2.59)*0.007+((T122+119961)*12/10000+48*2.59)*0.006)),4)</f>
        <v>4.0065</v>
      </c>
      <c r="AT122" s="47">
        <f>ROUND(((((T122+119961)*12/10000+48*2.59)*0.006)),4)</f>
        <v>1.8491</v>
      </c>
      <c r="AU122" s="47">
        <f t="shared" si="59"/>
        <v>18491</v>
      </c>
      <c r="AV122" s="47">
        <f>ROUND(((((T122+119961)*12/10000+48*2.59)*0.007)),4)</f>
        <v>2.1573000000000002</v>
      </c>
      <c r="AW122" s="47">
        <f t="shared" si="60"/>
        <v>21573.000000000004</v>
      </c>
      <c r="AX122" s="47">
        <f>ROUND(((T122+119961)*12/10000+48*2.59+AF122)*0.12,4)</f>
        <v>38.365200000000002</v>
      </c>
      <c r="AY122" s="47"/>
      <c r="AZ122" s="47">
        <v>200</v>
      </c>
      <c r="BA122" s="54">
        <v>1E-4</v>
      </c>
      <c r="BB122" s="55" t="s">
        <v>249</v>
      </c>
      <c r="BC122" s="51">
        <f t="shared" si="61"/>
        <v>348.68</v>
      </c>
      <c r="BD122" s="47">
        <f t="shared" si="64"/>
        <v>7.68</v>
      </c>
      <c r="BE122" s="47">
        <f t="shared" si="62"/>
        <v>0</v>
      </c>
      <c r="BF122" s="47"/>
      <c r="BG122" s="56">
        <v>69</v>
      </c>
      <c r="BH122" s="47">
        <v>272</v>
      </c>
      <c r="BI122" s="51">
        <f t="shared" si="42"/>
        <v>0</v>
      </c>
      <c r="BJ122" s="51">
        <f t="shared" si="43"/>
        <v>0</v>
      </c>
      <c r="BK122" s="47"/>
      <c r="BL122" s="47"/>
      <c r="BM122" s="47"/>
      <c r="BN122" s="47"/>
      <c r="BO122" s="47"/>
      <c r="BP122" s="68"/>
      <c r="BQ122" s="47"/>
      <c r="BR122" s="47"/>
      <c r="BS122" s="53"/>
      <c r="BT122" s="47"/>
      <c r="BU122" s="47"/>
      <c r="BV122" s="47"/>
      <c r="BW122" s="47"/>
      <c r="BX122" s="47"/>
      <c r="BY122" s="47"/>
      <c r="BZ122" s="47"/>
      <c r="CA122" s="47"/>
      <c r="CB122" s="54">
        <f t="shared" si="65"/>
        <v>924.19281999999998</v>
      </c>
    </row>
    <row r="123" spans="1:80" ht="14.25" customHeight="1">
      <c r="A123" s="47">
        <v>116</v>
      </c>
      <c r="B123" s="47" t="s">
        <v>129</v>
      </c>
      <c r="C123" s="48">
        <v>202001</v>
      </c>
      <c r="D123" s="49" t="s">
        <v>250</v>
      </c>
      <c r="E123" s="49" t="s">
        <v>131</v>
      </c>
      <c r="F123" s="50">
        <f t="shared" si="45"/>
        <v>55</v>
      </c>
      <c r="G123" s="50">
        <v>18</v>
      </c>
      <c r="H123" s="50"/>
      <c r="I123" s="50">
        <v>37</v>
      </c>
      <c r="J123" s="50"/>
      <c r="K123" s="50"/>
      <c r="L123" s="50"/>
      <c r="M123" s="50"/>
      <c r="N123" s="50">
        <v>77</v>
      </c>
      <c r="O123" s="50">
        <f t="shared" si="46"/>
        <v>132</v>
      </c>
      <c r="P123" s="51">
        <f t="shared" si="34"/>
        <v>1190.5786000000001</v>
      </c>
      <c r="Q123" s="51">
        <f t="shared" si="35"/>
        <v>764.2106</v>
      </c>
      <c r="R123" s="47">
        <f t="shared" si="47"/>
        <v>276719</v>
      </c>
      <c r="S123" s="58">
        <v>71026</v>
      </c>
      <c r="T123" s="58">
        <v>205693</v>
      </c>
      <c r="U123" s="47">
        <f>ROUND(R123*12/10000,5)</f>
        <v>332.06279999999998</v>
      </c>
      <c r="V123" s="51">
        <f t="shared" si="2"/>
        <v>40.86</v>
      </c>
      <c r="W123" s="47">
        <f t="shared" si="49"/>
        <v>40.5</v>
      </c>
      <c r="X123" s="47"/>
      <c r="Y123" s="47"/>
      <c r="Z123" s="47"/>
      <c r="AA123" s="47">
        <v>0.36</v>
      </c>
      <c r="AB123" s="51">
        <f t="shared" si="63"/>
        <v>92.740600000000001</v>
      </c>
      <c r="AC123" s="47">
        <f t="shared" si="51"/>
        <v>7.1025999999999998</v>
      </c>
      <c r="AD123" s="47"/>
      <c r="AE123" s="47"/>
      <c r="AF123" s="47">
        <f t="shared" si="52"/>
        <v>85.638000000000005</v>
      </c>
      <c r="AG123" s="47">
        <v>71365</v>
      </c>
      <c r="AH123" s="47"/>
      <c r="AI123" s="47">
        <f t="shared" si="53"/>
        <v>95.83</v>
      </c>
      <c r="AJ123" s="53">
        <f>ROUND((U123+W123+AC123+AE123+AF123+AI123)*0.16,4)</f>
        <v>89.781300000000002</v>
      </c>
      <c r="AK123" s="53">
        <f t="shared" si="55"/>
        <v>897813</v>
      </c>
      <c r="AL123" s="47"/>
      <c r="AM123" s="47">
        <f t="shared" si="66"/>
        <v>40.390900000000002</v>
      </c>
      <c r="AN123" s="47">
        <f t="shared" si="67"/>
        <v>38.048900000000003</v>
      </c>
      <c r="AO123" s="47">
        <f t="shared" si="56"/>
        <v>380489.00000000006</v>
      </c>
      <c r="AP123" s="47">
        <f t="shared" si="38"/>
        <v>2.3420000000000001</v>
      </c>
      <c r="AQ123" s="47">
        <f t="shared" si="57"/>
        <v>23420</v>
      </c>
      <c r="AR123" s="47"/>
      <c r="AS123" s="47">
        <f t="shared" si="58"/>
        <v>5.2089999999999996</v>
      </c>
      <c r="AT123" s="47">
        <f t="shared" si="68"/>
        <v>2.8104</v>
      </c>
      <c r="AU123" s="47">
        <f t="shared" si="59"/>
        <v>28104</v>
      </c>
      <c r="AV123" s="47">
        <f t="shared" si="69"/>
        <v>2.3986000000000001</v>
      </c>
      <c r="AW123" s="47">
        <f t="shared" si="60"/>
        <v>23986</v>
      </c>
      <c r="AX123" s="47">
        <f t="shared" si="72"/>
        <v>67.335999999999999</v>
      </c>
      <c r="AY123" s="47"/>
      <c r="AZ123" s="47"/>
      <c r="BA123" s="54">
        <v>1E-4</v>
      </c>
      <c r="BB123" s="55" t="s">
        <v>250</v>
      </c>
      <c r="BC123" s="51">
        <f t="shared" si="61"/>
        <v>405.37599999999998</v>
      </c>
      <c r="BD123" s="47">
        <f t="shared" si="64"/>
        <v>57.11999999999999</v>
      </c>
      <c r="BE123" s="47">
        <f t="shared" si="62"/>
        <v>14.256</v>
      </c>
      <c r="BF123" s="47">
        <v>11880</v>
      </c>
      <c r="BG123" s="56">
        <v>334</v>
      </c>
      <c r="BH123" s="47"/>
      <c r="BI123" s="51">
        <f t="shared" si="42"/>
        <v>20.992000000000001</v>
      </c>
      <c r="BJ123" s="51">
        <f t="shared" si="43"/>
        <v>0</v>
      </c>
      <c r="BK123" s="47"/>
      <c r="BL123" s="47"/>
      <c r="BM123" s="47"/>
      <c r="BN123" s="47"/>
      <c r="BO123" s="47"/>
      <c r="BP123" s="68">
        <v>7.992</v>
      </c>
      <c r="BQ123" s="47"/>
      <c r="BR123" s="47"/>
      <c r="BS123" s="53"/>
      <c r="BT123" s="47"/>
      <c r="BU123" s="47"/>
      <c r="BV123" s="47"/>
      <c r="BW123" s="47">
        <v>13</v>
      </c>
      <c r="BX123" s="47"/>
      <c r="BY123" s="47"/>
      <c r="BZ123" s="47"/>
      <c r="CA123" s="47"/>
      <c r="CB123" s="54">
        <f t="shared" si="65"/>
        <v>1190.5786000000001</v>
      </c>
    </row>
    <row r="124" spans="1:80" ht="14.25" customHeight="1">
      <c r="A124" s="47">
        <v>117</v>
      </c>
      <c r="B124" s="47" t="s">
        <v>129</v>
      </c>
      <c r="C124" s="48">
        <v>202002</v>
      </c>
      <c r="D124" s="60" t="s">
        <v>251</v>
      </c>
      <c r="E124" s="60" t="s">
        <v>150</v>
      </c>
      <c r="F124" s="50">
        <f t="shared" si="45"/>
        <v>275</v>
      </c>
      <c r="G124" s="50"/>
      <c r="H124" s="50"/>
      <c r="I124" s="50">
        <f>263+5</f>
        <v>268</v>
      </c>
      <c r="J124" s="50">
        <v>7</v>
      </c>
      <c r="K124" s="50"/>
      <c r="L124" s="50"/>
      <c r="M124" s="50"/>
      <c r="N124" s="50">
        <v>91</v>
      </c>
      <c r="O124" s="50">
        <f t="shared" si="46"/>
        <v>366</v>
      </c>
      <c r="P124" s="51">
        <f t="shared" si="34"/>
        <v>3750.6922</v>
      </c>
      <c r="Q124" s="51">
        <f t="shared" si="35"/>
        <v>3222.5066000000002</v>
      </c>
      <c r="R124" s="47">
        <f t="shared" si="47"/>
        <v>1316707</v>
      </c>
      <c r="S124" s="61"/>
      <c r="T124" s="61">
        <f>1306255+10452</f>
        <v>1316707</v>
      </c>
      <c r="U124" s="47">
        <f>ROUND(R124*12/10000,5)</f>
        <v>1580.0483999999999</v>
      </c>
      <c r="V124" s="51">
        <f t="shared" si="2"/>
        <v>0.72</v>
      </c>
      <c r="W124" s="47">
        <f t="shared" si="49"/>
        <v>0</v>
      </c>
      <c r="X124" s="47"/>
      <c r="Y124" s="47"/>
      <c r="Z124" s="47"/>
      <c r="AA124" s="47">
        <v>0.72</v>
      </c>
      <c r="AB124" s="51">
        <f t="shared" si="63"/>
        <v>0</v>
      </c>
      <c r="AC124" s="47">
        <f t="shared" si="51"/>
        <v>0</v>
      </c>
      <c r="AD124" s="47"/>
      <c r="AE124" s="47"/>
      <c r="AF124" s="47"/>
      <c r="AG124" s="47">
        <f>F124*600</f>
        <v>165000</v>
      </c>
      <c r="AH124" s="47"/>
      <c r="AI124" s="47">
        <f t="shared" si="53"/>
        <v>712.25</v>
      </c>
      <c r="AJ124" s="53">
        <f>ROUND((U124+W124+AC124+AE124+AG124*12/10000+AI124)*0.16,4)</f>
        <v>398.4477</v>
      </c>
      <c r="AK124" s="53">
        <f t="shared" si="55"/>
        <v>3984477</v>
      </c>
      <c r="AL124" s="47"/>
      <c r="AM124" s="47">
        <f t="shared" si="66"/>
        <v>195.52789999999999</v>
      </c>
      <c r="AN124" s="47">
        <f t="shared" si="67"/>
        <v>184.06639999999999</v>
      </c>
      <c r="AO124" s="47">
        <f t="shared" si="56"/>
        <v>1840663.9999999998</v>
      </c>
      <c r="AP124" s="47">
        <f t="shared" si="38"/>
        <v>11.461499999999999</v>
      </c>
      <c r="AQ124" s="47">
        <f t="shared" si="57"/>
        <v>114614.99999999999</v>
      </c>
      <c r="AR124" s="47"/>
      <c r="AS124" s="47">
        <f t="shared" ref="AS124:AS149" si="73">ROUND(((T124*12/10000+AI124)*0.007+(U124+W124+AI124)*0.009),4)</f>
        <v>36.6768</v>
      </c>
      <c r="AT124" s="47">
        <f t="shared" ref="AT124:AT149" si="74">ROUND(((U124+W124+AI124)*0.009),4)</f>
        <v>20.630700000000001</v>
      </c>
      <c r="AU124" s="47">
        <f t="shared" si="59"/>
        <v>206307</v>
      </c>
      <c r="AV124" s="47">
        <f t="shared" si="69"/>
        <v>16.046099999999999</v>
      </c>
      <c r="AW124" s="47">
        <f t="shared" si="60"/>
        <v>160461</v>
      </c>
      <c r="AX124" s="47">
        <f>ROUND((U124+W124+AC124+AE124+AG124*12/10000+AI124)*0.12,4)</f>
        <v>298.83580000000001</v>
      </c>
      <c r="AY124" s="47"/>
      <c r="AZ124" s="47"/>
      <c r="BA124" s="54">
        <v>1E-4</v>
      </c>
      <c r="BB124" s="65" t="s">
        <v>251</v>
      </c>
      <c r="BC124" s="51">
        <f t="shared" si="61"/>
        <v>439.29999999999995</v>
      </c>
      <c r="BD124" s="47"/>
      <c r="BE124" s="47">
        <f t="shared" si="62"/>
        <v>0</v>
      </c>
      <c r="BF124" s="47"/>
      <c r="BG124" s="72">
        <v>408.9</v>
      </c>
      <c r="BH124" s="47">
        <v>30.4</v>
      </c>
      <c r="BI124" s="51">
        <f t="shared" si="42"/>
        <v>88.885599999999997</v>
      </c>
      <c r="BJ124" s="51">
        <f t="shared" si="43"/>
        <v>0</v>
      </c>
      <c r="BK124" s="47"/>
      <c r="BL124" s="47"/>
      <c r="BM124" s="47"/>
      <c r="BN124" s="47"/>
      <c r="BO124" s="47"/>
      <c r="BP124" s="68">
        <v>5.0856000000000003</v>
      </c>
      <c r="BQ124" s="47"/>
      <c r="BR124" s="47"/>
      <c r="BS124" s="73">
        <v>83.8</v>
      </c>
      <c r="BT124" s="47"/>
      <c r="BU124" s="47"/>
      <c r="BV124" s="47"/>
      <c r="BW124" s="68"/>
      <c r="BX124" s="47"/>
      <c r="BY124" s="47"/>
      <c r="BZ124" s="47"/>
      <c r="CA124" s="47"/>
      <c r="CB124" s="54">
        <f t="shared" si="65"/>
        <v>3750.6922</v>
      </c>
    </row>
    <row r="125" spans="1:80" ht="14.25" customHeight="1">
      <c r="A125" s="47">
        <v>118</v>
      </c>
      <c r="B125" s="47" t="s">
        <v>129</v>
      </c>
      <c r="C125" s="48">
        <v>202003</v>
      </c>
      <c r="D125" s="60" t="s">
        <v>252</v>
      </c>
      <c r="E125" s="60" t="s">
        <v>150</v>
      </c>
      <c r="F125" s="50">
        <f t="shared" si="45"/>
        <v>88</v>
      </c>
      <c r="G125" s="50"/>
      <c r="H125" s="50"/>
      <c r="I125" s="50">
        <f>73+7</f>
        <v>80</v>
      </c>
      <c r="J125" s="50">
        <v>8</v>
      </c>
      <c r="K125" s="50"/>
      <c r="L125" s="50"/>
      <c r="M125" s="50"/>
      <c r="N125" s="50">
        <v>34</v>
      </c>
      <c r="O125" s="50">
        <f t="shared" si="46"/>
        <v>122</v>
      </c>
      <c r="P125" s="51">
        <f t="shared" si="34"/>
        <v>1319.1952999999999</v>
      </c>
      <c r="Q125" s="51">
        <f t="shared" si="35"/>
        <v>1058.3253</v>
      </c>
      <c r="R125" s="47">
        <f t="shared" si="47"/>
        <v>361972</v>
      </c>
      <c r="S125" s="61"/>
      <c r="T125" s="61">
        <f>348392+13580</f>
        <v>361972</v>
      </c>
      <c r="U125" s="47">
        <f t="shared" si="48"/>
        <v>434.3664</v>
      </c>
      <c r="V125" s="51">
        <f t="shared" si="2"/>
        <v>125.71199999999999</v>
      </c>
      <c r="W125" s="47">
        <f t="shared" si="49"/>
        <v>0</v>
      </c>
      <c r="X125" s="67">
        <v>77.111999999999995</v>
      </c>
      <c r="Y125" s="67">
        <v>48.6</v>
      </c>
      <c r="Z125" s="47"/>
      <c r="AA125" s="47"/>
      <c r="AB125" s="51">
        <f t="shared" si="63"/>
        <v>0</v>
      </c>
      <c r="AC125" s="47">
        <f t="shared" si="51"/>
        <v>0</v>
      </c>
      <c r="AD125" s="47"/>
      <c r="AE125" s="47"/>
      <c r="AF125" s="47"/>
      <c r="AG125" s="47">
        <f t="shared" ref="AG125:AG132" si="75">F125*600</f>
        <v>52800</v>
      </c>
      <c r="AH125" s="47"/>
      <c r="AI125" s="47">
        <f t="shared" si="53"/>
        <v>227.92</v>
      </c>
      <c r="AJ125" s="53">
        <f t="shared" ref="AJ125:AJ132" si="76">ROUND((U125+W125+AC125+AE125+AG125*12/10000+AI125)*0.16,4)</f>
        <v>116.10339999999999</v>
      </c>
      <c r="AK125" s="53">
        <f t="shared" si="55"/>
        <v>1161034</v>
      </c>
      <c r="AL125" s="47"/>
      <c r="AM125" s="47">
        <f t="shared" si="66"/>
        <v>56.549300000000002</v>
      </c>
      <c r="AN125" s="47">
        <f t="shared" si="67"/>
        <v>53.237900000000003</v>
      </c>
      <c r="AO125" s="47">
        <f t="shared" si="56"/>
        <v>532379</v>
      </c>
      <c r="AP125" s="47">
        <f t="shared" si="38"/>
        <v>3.3113999999999999</v>
      </c>
      <c r="AQ125" s="47">
        <f t="shared" si="57"/>
        <v>33114</v>
      </c>
      <c r="AR125" s="47"/>
      <c r="AS125" s="47">
        <f t="shared" si="73"/>
        <v>10.5966</v>
      </c>
      <c r="AT125" s="47">
        <f t="shared" si="74"/>
        <v>5.9606000000000003</v>
      </c>
      <c r="AU125" s="47">
        <f t="shared" si="59"/>
        <v>59606</v>
      </c>
      <c r="AV125" s="47">
        <f t="shared" si="69"/>
        <v>4.6360000000000001</v>
      </c>
      <c r="AW125" s="47">
        <f t="shared" si="60"/>
        <v>46360</v>
      </c>
      <c r="AX125" s="47">
        <f t="shared" ref="AX125:AX132" si="77">ROUND((U125+W125+AC125+AE125+AG125*12/10000+AI125)*0.12,4)</f>
        <v>87.077600000000004</v>
      </c>
      <c r="AY125" s="47"/>
      <c r="AZ125" s="47"/>
      <c r="BA125" s="54">
        <v>1E-4</v>
      </c>
      <c r="BB125" s="65" t="s">
        <v>252</v>
      </c>
      <c r="BC125" s="51">
        <f t="shared" si="61"/>
        <v>193.76</v>
      </c>
      <c r="BD125" s="47"/>
      <c r="BE125" s="47">
        <f t="shared" si="62"/>
        <v>0</v>
      </c>
      <c r="BF125" s="47"/>
      <c r="BG125" s="72">
        <v>161.76</v>
      </c>
      <c r="BH125" s="47">
        <v>32</v>
      </c>
      <c r="BI125" s="51">
        <f t="shared" si="42"/>
        <v>67.11</v>
      </c>
      <c r="BJ125" s="51">
        <f t="shared" si="43"/>
        <v>0</v>
      </c>
      <c r="BK125" s="47"/>
      <c r="BL125" s="47"/>
      <c r="BM125" s="47"/>
      <c r="BN125" s="47"/>
      <c r="BO125" s="47"/>
      <c r="BP125" s="68">
        <v>17.91</v>
      </c>
      <c r="BQ125" s="47"/>
      <c r="BR125" s="47"/>
      <c r="BS125" s="73">
        <v>49.2</v>
      </c>
      <c r="BT125" s="47"/>
      <c r="BU125" s="47"/>
      <c r="BV125" s="47"/>
      <c r="BW125" s="68"/>
      <c r="BX125" s="47"/>
      <c r="BY125" s="47"/>
      <c r="BZ125" s="47"/>
      <c r="CA125" s="47"/>
      <c r="CB125" s="54">
        <f t="shared" si="65"/>
        <v>1319.1952999999999</v>
      </c>
    </row>
    <row r="126" spans="1:80" ht="14.25" customHeight="1">
      <c r="A126" s="47">
        <v>119</v>
      </c>
      <c r="B126" s="47" t="s">
        <v>129</v>
      </c>
      <c r="C126" s="48">
        <v>202004</v>
      </c>
      <c r="D126" s="60" t="s">
        <v>253</v>
      </c>
      <c r="E126" s="60" t="s">
        <v>150</v>
      </c>
      <c r="F126" s="50">
        <f t="shared" si="45"/>
        <v>128</v>
      </c>
      <c r="G126" s="50"/>
      <c r="H126" s="50"/>
      <c r="I126" s="50">
        <f>117+5</f>
        <v>122</v>
      </c>
      <c r="J126" s="50">
        <v>6</v>
      </c>
      <c r="K126" s="50"/>
      <c r="L126" s="50"/>
      <c r="M126" s="50"/>
      <c r="N126" s="50">
        <v>21</v>
      </c>
      <c r="O126" s="50">
        <f t="shared" si="46"/>
        <v>149</v>
      </c>
      <c r="P126" s="51">
        <f t="shared" si="34"/>
        <v>1804.1287999999997</v>
      </c>
      <c r="Q126" s="51">
        <f t="shared" si="35"/>
        <v>1522.5167999999999</v>
      </c>
      <c r="R126" s="47">
        <f t="shared" si="47"/>
        <v>533298</v>
      </c>
      <c r="S126" s="61"/>
      <c r="T126" s="61">
        <f>523598+9700</f>
        <v>533298</v>
      </c>
      <c r="U126" s="47">
        <f t="shared" si="48"/>
        <v>639.95759999999996</v>
      </c>
      <c r="V126" s="51">
        <f t="shared" si="2"/>
        <v>154.94400000000002</v>
      </c>
      <c r="W126" s="47">
        <f t="shared" si="49"/>
        <v>0</v>
      </c>
      <c r="X126" s="67">
        <v>111.024</v>
      </c>
      <c r="Y126" s="67">
        <v>43.92</v>
      </c>
      <c r="Z126" s="47"/>
      <c r="AA126" s="47"/>
      <c r="AB126" s="51">
        <f t="shared" si="63"/>
        <v>0</v>
      </c>
      <c r="AC126" s="47">
        <f t="shared" si="51"/>
        <v>0</v>
      </c>
      <c r="AD126" s="47"/>
      <c r="AE126" s="47"/>
      <c r="AF126" s="47"/>
      <c r="AG126" s="47">
        <f t="shared" si="75"/>
        <v>76800</v>
      </c>
      <c r="AH126" s="47"/>
      <c r="AI126" s="47">
        <f t="shared" si="53"/>
        <v>331.52</v>
      </c>
      <c r="AJ126" s="53">
        <f t="shared" si="76"/>
        <v>170.18199999999999</v>
      </c>
      <c r="AK126" s="53">
        <f t="shared" si="55"/>
        <v>1701819.9999999998</v>
      </c>
      <c r="AL126" s="47"/>
      <c r="AM126" s="47">
        <f t="shared" si="66"/>
        <v>82.733099999999993</v>
      </c>
      <c r="AN126" s="47">
        <f t="shared" si="67"/>
        <v>77.875699999999995</v>
      </c>
      <c r="AO126" s="47">
        <f t="shared" si="56"/>
        <v>778757</v>
      </c>
      <c r="AP126" s="47">
        <f t="shared" si="38"/>
        <v>4.8574000000000002</v>
      </c>
      <c r="AQ126" s="47">
        <f t="shared" si="57"/>
        <v>48574</v>
      </c>
      <c r="AR126" s="47"/>
      <c r="AS126" s="47">
        <f t="shared" si="73"/>
        <v>15.5436</v>
      </c>
      <c r="AT126" s="47">
        <f t="shared" si="74"/>
        <v>8.7432999999999996</v>
      </c>
      <c r="AU126" s="47">
        <f t="shared" si="59"/>
        <v>87433</v>
      </c>
      <c r="AV126" s="47">
        <f t="shared" si="69"/>
        <v>6.8003</v>
      </c>
      <c r="AW126" s="47">
        <f t="shared" si="60"/>
        <v>68003</v>
      </c>
      <c r="AX126" s="47">
        <f t="shared" si="77"/>
        <v>127.6365</v>
      </c>
      <c r="AY126" s="47"/>
      <c r="AZ126" s="47"/>
      <c r="BA126" s="54">
        <v>1E-4</v>
      </c>
      <c r="BB126" s="65" t="s">
        <v>253</v>
      </c>
      <c r="BC126" s="51">
        <f t="shared" si="61"/>
        <v>215.3</v>
      </c>
      <c r="BD126" s="47"/>
      <c r="BE126" s="47">
        <f t="shared" si="62"/>
        <v>0</v>
      </c>
      <c r="BF126" s="47"/>
      <c r="BG126" s="72">
        <v>202.5</v>
      </c>
      <c r="BH126" s="47">
        <v>12.8</v>
      </c>
      <c r="BI126" s="51">
        <f t="shared" si="42"/>
        <v>66.311999999999998</v>
      </c>
      <c r="BJ126" s="51">
        <f t="shared" si="43"/>
        <v>0</v>
      </c>
      <c r="BK126" s="47"/>
      <c r="BL126" s="47"/>
      <c r="BM126" s="47"/>
      <c r="BN126" s="47"/>
      <c r="BO126" s="47"/>
      <c r="BP126" s="68">
        <v>3.3119999999999998</v>
      </c>
      <c r="BQ126" s="47"/>
      <c r="BR126" s="47"/>
      <c r="BS126" s="73">
        <v>63</v>
      </c>
      <c r="BT126" s="47"/>
      <c r="BU126" s="47"/>
      <c r="BV126" s="47"/>
      <c r="BW126" s="68"/>
      <c r="BX126" s="47"/>
      <c r="BY126" s="47"/>
      <c r="BZ126" s="47"/>
      <c r="CA126" s="47"/>
      <c r="CB126" s="54">
        <f t="shared" si="65"/>
        <v>1804.1287999999997</v>
      </c>
    </row>
    <row r="127" spans="1:80" ht="14.25" customHeight="1">
      <c r="A127" s="47">
        <v>120</v>
      </c>
      <c r="B127" s="47" t="s">
        <v>129</v>
      </c>
      <c r="C127" s="48">
        <v>202005</v>
      </c>
      <c r="D127" s="60" t="s">
        <v>254</v>
      </c>
      <c r="E127" s="60" t="s">
        <v>150</v>
      </c>
      <c r="F127" s="50">
        <f t="shared" si="45"/>
        <v>94</v>
      </c>
      <c r="G127" s="50"/>
      <c r="H127" s="50"/>
      <c r="I127" s="50">
        <f>85-1+5</f>
        <v>89</v>
      </c>
      <c r="J127" s="50">
        <v>5</v>
      </c>
      <c r="K127" s="50"/>
      <c r="L127" s="50"/>
      <c r="M127" s="50"/>
      <c r="N127" s="50">
        <v>19</v>
      </c>
      <c r="O127" s="50">
        <f t="shared" si="46"/>
        <v>113</v>
      </c>
      <c r="P127" s="51">
        <f t="shared" si="34"/>
        <v>1315.2506000000001</v>
      </c>
      <c r="Q127" s="51">
        <f t="shared" si="35"/>
        <v>1070.8546000000001</v>
      </c>
      <c r="R127" s="47">
        <f t="shared" si="47"/>
        <v>367318</v>
      </c>
      <c r="S127" s="61"/>
      <c r="T127" s="61">
        <f>357198+10120</f>
        <v>367318</v>
      </c>
      <c r="U127" s="47">
        <f t="shared" si="48"/>
        <v>440.78160000000003</v>
      </c>
      <c r="V127" s="51">
        <f t="shared" si="2"/>
        <v>106.82400000000001</v>
      </c>
      <c r="W127" s="47">
        <f t="shared" si="49"/>
        <v>0</v>
      </c>
      <c r="X127" s="67">
        <v>76.224000000000004</v>
      </c>
      <c r="Y127" s="67">
        <v>30.6</v>
      </c>
      <c r="Z127" s="47"/>
      <c r="AA127" s="47"/>
      <c r="AB127" s="51">
        <f t="shared" si="63"/>
        <v>0</v>
      </c>
      <c r="AC127" s="47">
        <f t="shared" si="51"/>
        <v>0</v>
      </c>
      <c r="AD127" s="47"/>
      <c r="AE127" s="47"/>
      <c r="AF127" s="47"/>
      <c r="AG127" s="47">
        <f t="shared" si="75"/>
        <v>56400</v>
      </c>
      <c r="AH127" s="47"/>
      <c r="AI127" s="47">
        <f t="shared" si="53"/>
        <v>243.46</v>
      </c>
      <c r="AJ127" s="53">
        <f t="shared" si="76"/>
        <v>120.3075</v>
      </c>
      <c r="AK127" s="53">
        <f t="shared" si="55"/>
        <v>1203075</v>
      </c>
      <c r="AL127" s="47"/>
      <c r="AM127" s="47">
        <f t="shared" si="66"/>
        <v>58.302999999999997</v>
      </c>
      <c r="AN127" s="47">
        <f t="shared" si="67"/>
        <v>54.881799999999998</v>
      </c>
      <c r="AO127" s="47">
        <f t="shared" si="56"/>
        <v>548818</v>
      </c>
      <c r="AP127" s="47">
        <f t="shared" si="38"/>
        <v>3.4211999999999998</v>
      </c>
      <c r="AQ127" s="47">
        <f t="shared" si="57"/>
        <v>34212</v>
      </c>
      <c r="AR127" s="47"/>
      <c r="AS127" s="47">
        <f t="shared" si="73"/>
        <v>10.947900000000001</v>
      </c>
      <c r="AT127" s="47">
        <f t="shared" si="74"/>
        <v>6.1581999999999999</v>
      </c>
      <c r="AU127" s="47">
        <f t="shared" si="59"/>
        <v>61582</v>
      </c>
      <c r="AV127" s="47">
        <f t="shared" si="69"/>
        <v>4.7896999999999998</v>
      </c>
      <c r="AW127" s="47">
        <f t="shared" si="60"/>
        <v>47897</v>
      </c>
      <c r="AX127" s="47">
        <f t="shared" si="77"/>
        <v>90.230599999999995</v>
      </c>
      <c r="AY127" s="47"/>
      <c r="AZ127" s="47"/>
      <c r="BA127" s="54">
        <v>1E-4</v>
      </c>
      <c r="BB127" s="65" t="s">
        <v>254</v>
      </c>
      <c r="BC127" s="51">
        <f t="shared" si="61"/>
        <v>179.48</v>
      </c>
      <c r="BD127" s="47"/>
      <c r="BE127" s="47">
        <f t="shared" si="62"/>
        <v>0</v>
      </c>
      <c r="BF127" s="47"/>
      <c r="BG127" s="72">
        <v>173.88</v>
      </c>
      <c r="BH127" s="47">
        <v>5.6</v>
      </c>
      <c r="BI127" s="51">
        <f t="shared" si="42"/>
        <v>64.915999999999997</v>
      </c>
      <c r="BJ127" s="51">
        <f t="shared" si="43"/>
        <v>0</v>
      </c>
      <c r="BK127" s="47"/>
      <c r="BL127" s="47"/>
      <c r="BM127" s="47"/>
      <c r="BN127" s="47"/>
      <c r="BO127" s="47"/>
      <c r="BP127" s="68">
        <f>4.836+0.48</f>
        <v>5.3160000000000007</v>
      </c>
      <c r="BQ127" s="47"/>
      <c r="BR127" s="47"/>
      <c r="BS127" s="73">
        <v>59.6</v>
      </c>
      <c r="BT127" s="47"/>
      <c r="BU127" s="47"/>
      <c r="BV127" s="47"/>
      <c r="BW127" s="68"/>
      <c r="BX127" s="47"/>
      <c r="BY127" s="47"/>
      <c r="BZ127" s="47"/>
      <c r="CA127" s="47"/>
      <c r="CB127" s="54">
        <f t="shared" si="65"/>
        <v>1315.2506000000001</v>
      </c>
    </row>
    <row r="128" spans="1:80" ht="14.25" customHeight="1">
      <c r="A128" s="47">
        <v>121</v>
      </c>
      <c r="B128" s="47" t="s">
        <v>129</v>
      </c>
      <c r="C128" s="48">
        <v>202006</v>
      </c>
      <c r="D128" s="60" t="s">
        <v>255</v>
      </c>
      <c r="E128" s="60" t="s">
        <v>150</v>
      </c>
      <c r="F128" s="50">
        <f t="shared" si="45"/>
        <v>70</v>
      </c>
      <c r="G128" s="50"/>
      <c r="H128" s="50"/>
      <c r="I128" s="50">
        <f>63+4</f>
        <v>67</v>
      </c>
      <c r="J128" s="50">
        <v>3</v>
      </c>
      <c r="K128" s="50"/>
      <c r="L128" s="50"/>
      <c r="M128" s="50"/>
      <c r="N128" s="50">
        <v>20</v>
      </c>
      <c r="O128" s="50">
        <f t="shared" si="46"/>
        <v>90</v>
      </c>
      <c r="P128" s="51">
        <f t="shared" si="34"/>
        <v>982.99250000000006</v>
      </c>
      <c r="Q128" s="51">
        <f t="shared" si="35"/>
        <v>791.04050000000007</v>
      </c>
      <c r="R128" s="47">
        <f t="shared" si="47"/>
        <v>267943</v>
      </c>
      <c r="S128" s="61"/>
      <c r="T128" s="61">
        <f>260183+7760</f>
        <v>267943</v>
      </c>
      <c r="U128" s="47">
        <f t="shared" si="48"/>
        <v>321.53160000000003</v>
      </c>
      <c r="V128" s="51">
        <f t="shared" si="2"/>
        <v>82.367999999999995</v>
      </c>
      <c r="W128" s="47">
        <f t="shared" si="49"/>
        <v>0</v>
      </c>
      <c r="X128" s="67">
        <v>58.247999999999998</v>
      </c>
      <c r="Y128" s="67">
        <v>24.12</v>
      </c>
      <c r="Z128" s="47"/>
      <c r="AA128" s="47"/>
      <c r="AB128" s="51">
        <f t="shared" si="63"/>
        <v>0</v>
      </c>
      <c r="AC128" s="47">
        <f t="shared" si="51"/>
        <v>0</v>
      </c>
      <c r="AD128" s="47"/>
      <c r="AE128" s="47"/>
      <c r="AF128" s="47"/>
      <c r="AG128" s="47">
        <f t="shared" si="75"/>
        <v>42000</v>
      </c>
      <c r="AH128" s="47"/>
      <c r="AI128" s="47">
        <f t="shared" si="53"/>
        <v>181.3</v>
      </c>
      <c r="AJ128" s="53">
        <f t="shared" si="76"/>
        <v>88.517099999999999</v>
      </c>
      <c r="AK128" s="53">
        <f t="shared" si="55"/>
        <v>885171</v>
      </c>
      <c r="AL128" s="47"/>
      <c r="AM128" s="47">
        <f t="shared" si="66"/>
        <v>42.890700000000002</v>
      </c>
      <c r="AN128" s="47">
        <f t="shared" si="67"/>
        <v>40.3765</v>
      </c>
      <c r="AO128" s="47">
        <f t="shared" si="56"/>
        <v>403765</v>
      </c>
      <c r="AP128" s="47">
        <f t="shared" si="38"/>
        <v>2.5142000000000002</v>
      </c>
      <c r="AQ128" s="47">
        <f t="shared" si="57"/>
        <v>25142.000000000004</v>
      </c>
      <c r="AR128" s="47"/>
      <c r="AS128" s="47">
        <f t="shared" si="73"/>
        <v>8.0452999999999992</v>
      </c>
      <c r="AT128" s="47">
        <f t="shared" si="74"/>
        <v>4.5255000000000001</v>
      </c>
      <c r="AU128" s="47">
        <f t="shared" si="59"/>
        <v>45255</v>
      </c>
      <c r="AV128" s="47">
        <f t="shared" si="69"/>
        <v>3.5198</v>
      </c>
      <c r="AW128" s="47">
        <f t="shared" si="60"/>
        <v>35198</v>
      </c>
      <c r="AX128" s="47">
        <f t="shared" si="77"/>
        <v>66.387799999999999</v>
      </c>
      <c r="AY128" s="47"/>
      <c r="AZ128" s="47"/>
      <c r="BA128" s="54">
        <v>1E-4</v>
      </c>
      <c r="BB128" s="65" t="s">
        <v>255</v>
      </c>
      <c r="BC128" s="51">
        <f t="shared" si="61"/>
        <v>143.97999999999999</v>
      </c>
      <c r="BD128" s="47"/>
      <c r="BE128" s="47">
        <f t="shared" si="62"/>
        <v>0</v>
      </c>
      <c r="BF128" s="47"/>
      <c r="BG128" s="72">
        <v>139.97999999999999</v>
      </c>
      <c r="BH128" s="47">
        <v>4</v>
      </c>
      <c r="BI128" s="51">
        <f t="shared" si="42"/>
        <v>47.972000000000001</v>
      </c>
      <c r="BJ128" s="51">
        <f t="shared" si="43"/>
        <v>0</v>
      </c>
      <c r="BK128" s="47"/>
      <c r="BL128" s="47"/>
      <c r="BM128" s="47"/>
      <c r="BN128" s="47"/>
      <c r="BO128" s="47"/>
      <c r="BP128" s="68">
        <v>6.3719999999999999</v>
      </c>
      <c r="BQ128" s="47"/>
      <c r="BR128" s="47"/>
      <c r="BS128" s="73">
        <v>41.6</v>
      </c>
      <c r="BT128" s="47"/>
      <c r="BU128" s="47"/>
      <c r="BV128" s="47"/>
      <c r="BW128" s="68"/>
      <c r="BX128" s="47"/>
      <c r="BY128" s="47"/>
      <c r="BZ128" s="47"/>
      <c r="CA128" s="47"/>
      <c r="CB128" s="54">
        <f t="shared" si="65"/>
        <v>982.99250000000006</v>
      </c>
    </row>
    <row r="129" spans="1:80" ht="14.25" customHeight="1">
      <c r="A129" s="47">
        <v>122</v>
      </c>
      <c r="B129" s="47" t="s">
        <v>129</v>
      </c>
      <c r="C129" s="48">
        <v>202007</v>
      </c>
      <c r="D129" s="60" t="s">
        <v>256</v>
      </c>
      <c r="E129" s="60" t="s">
        <v>150</v>
      </c>
      <c r="F129" s="50">
        <f t="shared" si="45"/>
        <v>272</v>
      </c>
      <c r="G129" s="50"/>
      <c r="H129" s="50"/>
      <c r="I129" s="50">
        <f>254+11</f>
        <v>265</v>
      </c>
      <c r="J129" s="50">
        <v>7</v>
      </c>
      <c r="K129" s="50"/>
      <c r="L129" s="50"/>
      <c r="M129" s="50"/>
      <c r="N129" s="50">
        <v>71</v>
      </c>
      <c r="O129" s="50">
        <f t="shared" si="46"/>
        <v>343</v>
      </c>
      <c r="P129" s="51">
        <f t="shared" si="34"/>
        <v>3623.7057000000009</v>
      </c>
      <c r="Q129" s="51">
        <f t="shared" si="35"/>
        <v>2989.3817000000008</v>
      </c>
      <c r="R129" s="47">
        <f t="shared" si="47"/>
        <v>1183398</v>
      </c>
      <c r="S129" s="61"/>
      <c r="T129" s="61">
        <f>1162058+21340</f>
        <v>1183398</v>
      </c>
      <c r="U129" s="47">
        <f t="shared" si="48"/>
        <v>1420.0776000000001</v>
      </c>
      <c r="V129" s="51">
        <f t="shared" si="2"/>
        <v>0</v>
      </c>
      <c r="W129" s="47">
        <f t="shared" si="49"/>
        <v>0</v>
      </c>
      <c r="X129" s="47"/>
      <c r="Y129" s="47"/>
      <c r="Z129" s="47"/>
      <c r="AA129" s="47"/>
      <c r="AB129" s="51">
        <f t="shared" si="63"/>
        <v>0</v>
      </c>
      <c r="AC129" s="47">
        <f t="shared" si="51"/>
        <v>0</v>
      </c>
      <c r="AD129" s="47"/>
      <c r="AE129" s="47"/>
      <c r="AF129" s="47"/>
      <c r="AG129" s="47">
        <f t="shared" si="75"/>
        <v>163200</v>
      </c>
      <c r="AH129" s="47"/>
      <c r="AI129" s="47">
        <f t="shared" si="53"/>
        <v>704.48</v>
      </c>
      <c r="AJ129" s="53">
        <f t="shared" si="76"/>
        <v>371.2636</v>
      </c>
      <c r="AK129" s="53">
        <f t="shared" si="55"/>
        <v>3712636</v>
      </c>
      <c r="AL129" s="47"/>
      <c r="AM129" s="47">
        <f t="shared" si="66"/>
        <v>181.1199</v>
      </c>
      <c r="AN129" s="47">
        <f t="shared" si="67"/>
        <v>170.49709999999999</v>
      </c>
      <c r="AO129" s="47">
        <f t="shared" si="56"/>
        <v>1704971</v>
      </c>
      <c r="AP129" s="47">
        <f t="shared" si="38"/>
        <v>10.6228</v>
      </c>
      <c r="AQ129" s="47">
        <f t="shared" si="57"/>
        <v>106228</v>
      </c>
      <c r="AR129" s="47"/>
      <c r="AS129" s="47">
        <f t="shared" si="73"/>
        <v>33.992899999999999</v>
      </c>
      <c r="AT129" s="47">
        <f t="shared" si="74"/>
        <v>19.120999999999999</v>
      </c>
      <c r="AU129" s="47">
        <f t="shared" si="59"/>
        <v>191210</v>
      </c>
      <c r="AV129" s="47">
        <f t="shared" si="69"/>
        <v>14.8719</v>
      </c>
      <c r="AW129" s="47">
        <f t="shared" si="60"/>
        <v>148719</v>
      </c>
      <c r="AX129" s="47">
        <f t="shared" si="77"/>
        <v>278.4477</v>
      </c>
      <c r="AY129" s="47"/>
      <c r="AZ129" s="47"/>
      <c r="BA129" s="54">
        <v>1E-4</v>
      </c>
      <c r="BB129" s="65" t="s">
        <v>256</v>
      </c>
      <c r="BC129" s="51">
        <f t="shared" si="61"/>
        <v>509.5</v>
      </c>
      <c r="BD129" s="47"/>
      <c r="BE129" s="47">
        <f t="shared" si="62"/>
        <v>0</v>
      </c>
      <c r="BF129" s="47"/>
      <c r="BG129" s="72">
        <v>477.5</v>
      </c>
      <c r="BH129" s="47">
        <v>32</v>
      </c>
      <c r="BI129" s="51">
        <f t="shared" si="42"/>
        <v>124.824</v>
      </c>
      <c r="BJ129" s="51">
        <f t="shared" si="43"/>
        <v>0</v>
      </c>
      <c r="BK129" s="47"/>
      <c r="BL129" s="47"/>
      <c r="BM129" s="47"/>
      <c r="BN129" s="47"/>
      <c r="BO129" s="47"/>
      <c r="BP129" s="68">
        <v>4.8239999999999998</v>
      </c>
      <c r="BQ129" s="47"/>
      <c r="BR129" s="47"/>
      <c r="BS129" s="73">
        <v>120</v>
      </c>
      <c r="BT129" s="47"/>
      <c r="BU129" s="47"/>
      <c r="BV129" s="47"/>
      <c r="BW129" s="68"/>
      <c r="BX129" s="47"/>
      <c r="BY129" s="47"/>
      <c r="BZ129" s="47"/>
      <c r="CA129" s="47"/>
      <c r="CB129" s="54">
        <f t="shared" si="65"/>
        <v>3623.7057000000009</v>
      </c>
    </row>
    <row r="130" spans="1:80" ht="28.5" customHeight="1">
      <c r="A130" s="47">
        <v>123</v>
      </c>
      <c r="B130" s="47" t="s">
        <v>129</v>
      </c>
      <c r="C130" s="48">
        <v>202008</v>
      </c>
      <c r="D130" s="71" t="s">
        <v>257</v>
      </c>
      <c r="E130" s="60" t="s">
        <v>150</v>
      </c>
      <c r="F130" s="50">
        <f t="shared" si="45"/>
        <v>178</v>
      </c>
      <c r="G130" s="50"/>
      <c r="H130" s="50"/>
      <c r="I130" s="50">
        <f>158+11</f>
        <v>169</v>
      </c>
      <c r="J130" s="50">
        <v>9</v>
      </c>
      <c r="K130" s="50"/>
      <c r="L130" s="50"/>
      <c r="M130" s="50">
        <v>1</v>
      </c>
      <c r="N130" s="50">
        <v>38</v>
      </c>
      <c r="O130" s="50">
        <f t="shared" si="46"/>
        <v>217</v>
      </c>
      <c r="P130" s="51">
        <f t="shared" si="34"/>
        <v>3310.9829999999997</v>
      </c>
      <c r="Q130" s="51">
        <f t="shared" si="35"/>
        <v>1895.5089999999998</v>
      </c>
      <c r="R130" s="47">
        <f t="shared" si="47"/>
        <v>737793</v>
      </c>
      <c r="S130" s="61"/>
      <c r="T130" s="61">
        <v>737793</v>
      </c>
      <c r="U130" s="47">
        <f t="shared" si="48"/>
        <v>885.35159999999996</v>
      </c>
      <c r="V130" s="51">
        <f t="shared" si="2"/>
        <v>0</v>
      </c>
      <c r="W130" s="47">
        <f t="shared" si="49"/>
        <v>0</v>
      </c>
      <c r="X130" s="47"/>
      <c r="Y130" s="47"/>
      <c r="Z130" s="47"/>
      <c r="AA130" s="47"/>
      <c r="AB130" s="51">
        <f t="shared" si="63"/>
        <v>0</v>
      </c>
      <c r="AC130" s="47">
        <f t="shared" si="51"/>
        <v>0</v>
      </c>
      <c r="AD130" s="47"/>
      <c r="AE130" s="47"/>
      <c r="AF130" s="47"/>
      <c r="AG130" s="47">
        <f t="shared" si="75"/>
        <v>106800</v>
      </c>
      <c r="AH130" s="47"/>
      <c r="AI130" s="47">
        <f t="shared" si="53"/>
        <v>461.02</v>
      </c>
      <c r="AJ130" s="53">
        <f t="shared" si="76"/>
        <v>235.92509999999999</v>
      </c>
      <c r="AK130" s="53">
        <f t="shared" si="55"/>
        <v>2359251</v>
      </c>
      <c r="AL130" s="47"/>
      <c r="AM130" s="47">
        <f t="shared" si="66"/>
        <v>114.7266</v>
      </c>
      <c r="AN130" s="47">
        <f t="shared" si="67"/>
        <v>107.99469999999999</v>
      </c>
      <c r="AO130" s="47">
        <f t="shared" si="56"/>
        <v>1079947</v>
      </c>
      <c r="AP130" s="47">
        <f t="shared" si="38"/>
        <v>6.7319000000000004</v>
      </c>
      <c r="AQ130" s="47">
        <f t="shared" si="57"/>
        <v>67319</v>
      </c>
      <c r="AR130" s="47"/>
      <c r="AS130" s="47">
        <f t="shared" si="73"/>
        <v>21.541899999999998</v>
      </c>
      <c r="AT130" s="47">
        <f t="shared" si="74"/>
        <v>12.1173</v>
      </c>
      <c r="AU130" s="47">
        <f t="shared" si="59"/>
        <v>121173</v>
      </c>
      <c r="AV130" s="47">
        <f t="shared" si="69"/>
        <v>9.4245999999999999</v>
      </c>
      <c r="AW130" s="47">
        <f t="shared" si="60"/>
        <v>94246</v>
      </c>
      <c r="AX130" s="47">
        <f t="shared" si="77"/>
        <v>176.94380000000001</v>
      </c>
      <c r="AY130" s="47"/>
      <c r="AZ130" s="47"/>
      <c r="BA130" s="54">
        <v>1E-4</v>
      </c>
      <c r="BB130" s="74" t="s">
        <v>257</v>
      </c>
      <c r="BC130" s="51">
        <f t="shared" si="61"/>
        <v>889.52</v>
      </c>
      <c r="BD130" s="47"/>
      <c r="BE130" s="47">
        <f t="shared" si="62"/>
        <v>0</v>
      </c>
      <c r="BF130" s="47"/>
      <c r="BG130" s="72">
        <v>867.12</v>
      </c>
      <c r="BH130" s="47">
        <v>22.4</v>
      </c>
      <c r="BI130" s="51">
        <f t="shared" si="42"/>
        <v>525.95400000000006</v>
      </c>
      <c r="BJ130" s="51">
        <f t="shared" si="43"/>
        <v>4.3860000000000001</v>
      </c>
      <c r="BK130" s="47"/>
      <c r="BL130" s="47">
        <v>4.3860000000000001</v>
      </c>
      <c r="BM130" s="47"/>
      <c r="BN130" s="47"/>
      <c r="BO130" s="47"/>
      <c r="BP130" s="68">
        <v>4.968</v>
      </c>
      <c r="BQ130" s="47"/>
      <c r="BR130" s="47"/>
      <c r="BS130" s="73">
        <v>516.6</v>
      </c>
      <c r="BT130" s="47"/>
      <c r="BU130" s="47"/>
      <c r="BV130" s="47"/>
      <c r="BW130" s="47"/>
      <c r="BX130" s="47"/>
      <c r="BY130" s="47"/>
      <c r="BZ130" s="47"/>
      <c r="CA130" s="47"/>
      <c r="CB130" s="54">
        <f t="shared" si="65"/>
        <v>3310.9829999999997</v>
      </c>
    </row>
    <row r="131" spans="1:80" ht="14.25" customHeight="1">
      <c r="A131" s="47">
        <v>124</v>
      </c>
      <c r="B131" s="47" t="s">
        <v>129</v>
      </c>
      <c r="C131" s="48">
        <v>202009</v>
      </c>
      <c r="D131" s="60" t="s">
        <v>258</v>
      </c>
      <c r="E131" s="60" t="s">
        <v>150</v>
      </c>
      <c r="F131" s="50">
        <f t="shared" si="45"/>
        <v>23</v>
      </c>
      <c r="G131" s="50"/>
      <c r="H131" s="50"/>
      <c r="I131" s="50">
        <v>23</v>
      </c>
      <c r="J131" s="50"/>
      <c r="K131" s="50"/>
      <c r="L131" s="50"/>
      <c r="M131" s="50"/>
      <c r="N131" s="50">
        <v>27</v>
      </c>
      <c r="O131" s="50">
        <f t="shared" si="46"/>
        <v>50</v>
      </c>
      <c r="P131" s="51">
        <f t="shared" si="34"/>
        <v>299.99589999999995</v>
      </c>
      <c r="Q131" s="51">
        <f t="shared" si="35"/>
        <v>295.56789999999995</v>
      </c>
      <c r="R131" s="47">
        <f t="shared" si="47"/>
        <v>125792</v>
      </c>
      <c r="S131" s="61"/>
      <c r="T131" s="61">
        <v>125792</v>
      </c>
      <c r="U131" s="47">
        <f t="shared" si="48"/>
        <v>150.9504</v>
      </c>
      <c r="V131" s="51">
        <f t="shared" si="2"/>
        <v>0</v>
      </c>
      <c r="W131" s="47">
        <f t="shared" si="49"/>
        <v>0</v>
      </c>
      <c r="X131" s="47"/>
      <c r="Y131" s="47"/>
      <c r="Z131" s="47"/>
      <c r="AA131" s="47"/>
      <c r="AB131" s="51">
        <f t="shared" si="63"/>
        <v>0</v>
      </c>
      <c r="AC131" s="47">
        <f t="shared" si="51"/>
        <v>0</v>
      </c>
      <c r="AD131" s="47"/>
      <c r="AE131" s="47"/>
      <c r="AF131" s="47"/>
      <c r="AG131" s="47">
        <f t="shared" si="75"/>
        <v>13800</v>
      </c>
      <c r="AH131" s="47"/>
      <c r="AI131" s="47">
        <f t="shared" si="53"/>
        <v>59.57</v>
      </c>
      <c r="AJ131" s="53">
        <f t="shared" si="76"/>
        <v>36.332900000000002</v>
      </c>
      <c r="AK131" s="53">
        <f t="shared" si="55"/>
        <v>363329</v>
      </c>
      <c r="AL131" s="47"/>
      <c r="AM131" s="47">
        <f t="shared" si="66"/>
        <v>18.096699999999998</v>
      </c>
      <c r="AN131" s="47">
        <f t="shared" si="67"/>
        <v>17.0441</v>
      </c>
      <c r="AO131" s="47">
        <f t="shared" si="56"/>
        <v>170441</v>
      </c>
      <c r="AP131" s="47">
        <f t="shared" si="38"/>
        <v>1.0526</v>
      </c>
      <c r="AQ131" s="47">
        <f t="shared" si="57"/>
        <v>10526</v>
      </c>
      <c r="AR131" s="47"/>
      <c r="AS131" s="47">
        <f t="shared" si="73"/>
        <v>3.3683000000000001</v>
      </c>
      <c r="AT131" s="47">
        <f t="shared" si="74"/>
        <v>1.8947000000000001</v>
      </c>
      <c r="AU131" s="47">
        <f t="shared" si="59"/>
        <v>18947</v>
      </c>
      <c r="AV131" s="47">
        <f t="shared" si="69"/>
        <v>1.4736</v>
      </c>
      <c r="AW131" s="47">
        <f t="shared" si="60"/>
        <v>14736</v>
      </c>
      <c r="AX131" s="47">
        <f t="shared" si="77"/>
        <v>27.249600000000001</v>
      </c>
      <c r="AY131" s="47"/>
      <c r="AZ131" s="47"/>
      <c r="BA131" s="54">
        <v>1E-4</v>
      </c>
      <c r="BB131" s="65" t="s">
        <v>258</v>
      </c>
      <c r="BC131" s="51">
        <f t="shared" si="61"/>
        <v>0</v>
      </c>
      <c r="BD131" s="47"/>
      <c r="BE131" s="47">
        <f t="shared" si="62"/>
        <v>0</v>
      </c>
      <c r="BF131" s="47"/>
      <c r="BG131" s="56"/>
      <c r="BH131" s="47"/>
      <c r="BI131" s="51">
        <f t="shared" si="42"/>
        <v>4.4279999999999999</v>
      </c>
      <c r="BJ131" s="51">
        <f t="shared" si="43"/>
        <v>0</v>
      </c>
      <c r="BK131" s="47"/>
      <c r="BL131" s="47"/>
      <c r="BM131" s="47"/>
      <c r="BN131" s="47"/>
      <c r="BO131" s="47"/>
      <c r="BP131" s="68">
        <v>4.4279999999999999</v>
      </c>
      <c r="BQ131" s="47"/>
      <c r="BR131" s="47"/>
      <c r="BS131" s="53"/>
      <c r="BT131" s="47"/>
      <c r="BU131" s="47"/>
      <c r="BV131" s="47"/>
      <c r="BW131" s="47"/>
      <c r="BX131" s="47"/>
      <c r="BY131" s="47"/>
      <c r="BZ131" s="47"/>
      <c r="CA131" s="47"/>
      <c r="CB131" s="54">
        <f t="shared" si="65"/>
        <v>299.99589999999995</v>
      </c>
    </row>
    <row r="132" spans="1:80" ht="14.25" customHeight="1">
      <c r="A132" s="47">
        <v>125</v>
      </c>
      <c r="B132" s="47" t="s">
        <v>129</v>
      </c>
      <c r="C132" s="75">
        <v>202010</v>
      </c>
      <c r="D132" s="60" t="s">
        <v>259</v>
      </c>
      <c r="E132" s="60" t="s">
        <v>150</v>
      </c>
      <c r="F132" s="50">
        <f t="shared" si="45"/>
        <v>17</v>
      </c>
      <c r="G132" s="50"/>
      <c r="H132" s="50"/>
      <c r="I132" s="50">
        <v>17</v>
      </c>
      <c r="J132" s="50"/>
      <c r="K132" s="50"/>
      <c r="L132" s="50"/>
      <c r="M132" s="50"/>
      <c r="N132" s="50">
        <v>13</v>
      </c>
      <c r="O132" s="50">
        <f t="shared" si="46"/>
        <v>30</v>
      </c>
      <c r="P132" s="51">
        <f t="shared" si="34"/>
        <v>289.09659999999997</v>
      </c>
      <c r="Q132" s="51">
        <f t="shared" si="35"/>
        <v>169.09659999999997</v>
      </c>
      <c r="R132" s="47">
        <f t="shared" si="47"/>
        <v>63219</v>
      </c>
      <c r="S132" s="61"/>
      <c r="T132" s="61">
        <v>63219</v>
      </c>
      <c r="U132" s="47">
        <f t="shared" si="48"/>
        <v>75.862799999999993</v>
      </c>
      <c r="V132" s="51">
        <f t="shared" si="2"/>
        <v>0</v>
      </c>
      <c r="W132" s="47">
        <f t="shared" si="49"/>
        <v>0</v>
      </c>
      <c r="X132" s="47"/>
      <c r="Y132" s="47"/>
      <c r="Z132" s="47"/>
      <c r="AA132" s="47"/>
      <c r="AB132" s="51">
        <f t="shared" si="63"/>
        <v>0</v>
      </c>
      <c r="AC132" s="47">
        <f t="shared" si="51"/>
        <v>0</v>
      </c>
      <c r="AD132" s="47"/>
      <c r="AE132" s="47"/>
      <c r="AF132" s="47"/>
      <c r="AG132" s="47">
        <f t="shared" si="75"/>
        <v>10200</v>
      </c>
      <c r="AH132" s="47"/>
      <c r="AI132" s="47">
        <f t="shared" si="53"/>
        <v>44.03</v>
      </c>
      <c r="AJ132" s="53">
        <f t="shared" si="76"/>
        <v>21.141200000000001</v>
      </c>
      <c r="AK132" s="53">
        <f t="shared" si="55"/>
        <v>211412</v>
      </c>
      <c r="AL132" s="47"/>
      <c r="AM132" s="47">
        <f t="shared" si="66"/>
        <v>10.288399999999999</v>
      </c>
      <c r="AN132" s="47">
        <f t="shared" si="67"/>
        <v>9.6889000000000003</v>
      </c>
      <c r="AO132" s="47">
        <f t="shared" si="56"/>
        <v>96889</v>
      </c>
      <c r="AP132" s="47">
        <f t="shared" si="38"/>
        <v>0.59950000000000003</v>
      </c>
      <c r="AQ132" s="47">
        <f t="shared" si="57"/>
        <v>5995</v>
      </c>
      <c r="AR132" s="47"/>
      <c r="AS132" s="47">
        <f t="shared" si="73"/>
        <v>1.9182999999999999</v>
      </c>
      <c r="AT132" s="47">
        <f t="shared" si="74"/>
        <v>1.079</v>
      </c>
      <c r="AU132" s="47">
        <f t="shared" si="59"/>
        <v>10790</v>
      </c>
      <c r="AV132" s="47">
        <f t="shared" si="69"/>
        <v>0.83919999999999995</v>
      </c>
      <c r="AW132" s="47">
        <f t="shared" si="60"/>
        <v>8392</v>
      </c>
      <c r="AX132" s="47">
        <f t="shared" si="77"/>
        <v>15.8559</v>
      </c>
      <c r="AY132" s="47"/>
      <c r="AZ132" s="47"/>
      <c r="BA132" s="54">
        <v>1E-4</v>
      </c>
      <c r="BB132" s="65" t="s">
        <v>259</v>
      </c>
      <c r="BC132" s="51">
        <f t="shared" si="61"/>
        <v>120</v>
      </c>
      <c r="BD132" s="47"/>
      <c r="BE132" s="47">
        <f t="shared" si="62"/>
        <v>0</v>
      </c>
      <c r="BF132" s="47"/>
      <c r="BG132" s="56"/>
      <c r="BH132" s="47">
        <v>120</v>
      </c>
      <c r="BI132" s="51">
        <f t="shared" si="42"/>
        <v>0</v>
      </c>
      <c r="BJ132" s="51">
        <f t="shared" si="43"/>
        <v>0</v>
      </c>
      <c r="BK132" s="47"/>
      <c r="BL132" s="47"/>
      <c r="BM132" s="47"/>
      <c r="BN132" s="47"/>
      <c r="BO132" s="47"/>
      <c r="BP132" s="47"/>
      <c r="BQ132" s="47"/>
      <c r="BR132" s="47"/>
      <c r="BS132" s="53"/>
      <c r="BT132" s="47"/>
      <c r="BU132" s="47"/>
      <c r="BV132" s="47"/>
      <c r="BW132" s="47"/>
      <c r="BX132" s="47"/>
      <c r="BY132" s="47"/>
      <c r="BZ132" s="47"/>
      <c r="CA132" s="47"/>
      <c r="CB132" s="54">
        <f t="shared" si="65"/>
        <v>289.09659999999997</v>
      </c>
    </row>
    <row r="133" spans="1:80" ht="14.25" customHeight="1">
      <c r="A133" s="47">
        <v>126</v>
      </c>
      <c r="B133" s="47" t="s">
        <v>129</v>
      </c>
      <c r="C133" s="75">
        <v>202011</v>
      </c>
      <c r="D133" s="60" t="s">
        <v>260</v>
      </c>
      <c r="E133" s="60" t="s">
        <v>150</v>
      </c>
      <c r="F133" s="50">
        <f t="shared" si="45"/>
        <v>9</v>
      </c>
      <c r="G133" s="50"/>
      <c r="H133" s="50"/>
      <c r="I133" s="50">
        <v>8</v>
      </c>
      <c r="J133" s="50">
        <v>1</v>
      </c>
      <c r="K133" s="50"/>
      <c r="L133" s="50"/>
      <c r="M133" s="50"/>
      <c r="N133" s="50">
        <v>7</v>
      </c>
      <c r="O133" s="50">
        <f t="shared" si="46"/>
        <v>16</v>
      </c>
      <c r="P133" s="51">
        <f t="shared" si="34"/>
        <v>159.45070000000001</v>
      </c>
      <c r="Q133" s="51">
        <f t="shared" si="35"/>
        <v>115.3507</v>
      </c>
      <c r="R133" s="47">
        <f t="shared" si="47"/>
        <v>32280</v>
      </c>
      <c r="S133" s="61"/>
      <c r="T133" s="61">
        <v>32280</v>
      </c>
      <c r="U133" s="47">
        <f t="shared" si="48"/>
        <v>38.735999999999997</v>
      </c>
      <c r="V133" s="51">
        <f t="shared" si="2"/>
        <v>18.0108</v>
      </c>
      <c r="W133" s="47">
        <f t="shared" si="49"/>
        <v>0</v>
      </c>
      <c r="X133" s="47"/>
      <c r="Y133" s="47"/>
      <c r="Z133" s="47"/>
      <c r="AA133" s="67">
        <v>18.0108</v>
      </c>
      <c r="AB133" s="51">
        <f t="shared" si="63"/>
        <v>9.7200000000000006</v>
      </c>
      <c r="AC133" s="47">
        <f t="shared" si="51"/>
        <v>0</v>
      </c>
      <c r="AD133" s="47"/>
      <c r="AE133" s="67">
        <f>ROUND(AG133*3/2*12/10000,4)</f>
        <v>9.7200000000000006</v>
      </c>
      <c r="AF133" s="47"/>
      <c r="AG133" s="64">
        <v>5400</v>
      </c>
      <c r="AH133" s="47"/>
      <c r="AI133" s="47">
        <f t="shared" si="53"/>
        <v>23.31</v>
      </c>
      <c r="AJ133" s="53">
        <f>ROUND((U133+W133+AC133+AE133*2/3+AF133+AI133)*0.16,4)</f>
        <v>10.9642</v>
      </c>
      <c r="AK133" s="53">
        <f t="shared" si="55"/>
        <v>109642</v>
      </c>
      <c r="AL133" s="47"/>
      <c r="AM133" s="47">
        <f t="shared" ref="AM133:AM148" si="78">ROUND(((U133+W133+AI133)*0.085+N133*0.0075+F133*0.0075),4)</f>
        <v>5.3939000000000004</v>
      </c>
      <c r="AN133" s="47">
        <f t="shared" ref="AN133:AN148" si="79">ROUND(((U133+W133+AI133)*0.08+N133*0.0075+F133*0.0075),4)</f>
        <v>5.0837000000000003</v>
      </c>
      <c r="AO133" s="47">
        <f t="shared" si="56"/>
        <v>50837</v>
      </c>
      <c r="AP133" s="47">
        <f t="shared" si="38"/>
        <v>0.31019999999999998</v>
      </c>
      <c r="AQ133" s="47">
        <f t="shared" si="57"/>
        <v>3101.9999999999995</v>
      </c>
      <c r="AR133" s="47"/>
      <c r="AS133" s="47">
        <f t="shared" si="73"/>
        <v>0.99270000000000003</v>
      </c>
      <c r="AT133" s="47">
        <f t="shared" si="74"/>
        <v>0.55840000000000001</v>
      </c>
      <c r="AU133" s="47">
        <f t="shared" si="59"/>
        <v>5584</v>
      </c>
      <c r="AV133" s="47">
        <f t="shared" si="69"/>
        <v>0.43430000000000002</v>
      </c>
      <c r="AW133" s="47">
        <f t="shared" si="60"/>
        <v>4343</v>
      </c>
      <c r="AX133" s="47">
        <f t="shared" ref="AX133:AX148" si="80">ROUND((U133+W133+AC133+AE133*2/3+AF133+AI133)*0.12,4)</f>
        <v>8.2231000000000005</v>
      </c>
      <c r="AY133" s="47"/>
      <c r="AZ133" s="47"/>
      <c r="BA133" s="54">
        <v>1E-4</v>
      </c>
      <c r="BB133" s="65" t="s">
        <v>260</v>
      </c>
      <c r="BC133" s="51">
        <f t="shared" si="61"/>
        <v>40.799999999999997</v>
      </c>
      <c r="BD133" s="47"/>
      <c r="BE133" s="47">
        <f t="shared" si="62"/>
        <v>0</v>
      </c>
      <c r="BF133" s="47"/>
      <c r="BG133" s="56">
        <v>40.799999999999997</v>
      </c>
      <c r="BH133" s="47"/>
      <c r="BI133" s="51">
        <f t="shared" si="42"/>
        <v>3.3</v>
      </c>
      <c r="BJ133" s="51">
        <f t="shared" si="43"/>
        <v>0</v>
      </c>
      <c r="BK133" s="47"/>
      <c r="BL133" s="47"/>
      <c r="BM133" s="47"/>
      <c r="BN133" s="47"/>
      <c r="BO133" s="47"/>
      <c r="BP133" s="47"/>
      <c r="BQ133" s="47"/>
      <c r="BR133" s="47"/>
      <c r="BS133" s="53">
        <v>3.3</v>
      </c>
      <c r="BT133" s="47"/>
      <c r="BU133" s="47"/>
      <c r="BV133" s="47"/>
      <c r="BW133" s="47"/>
      <c r="BX133" s="47"/>
      <c r="BY133" s="47"/>
      <c r="BZ133" s="47"/>
      <c r="CA133" s="47"/>
      <c r="CB133" s="54">
        <f t="shared" si="65"/>
        <v>159.45070000000001</v>
      </c>
    </row>
    <row r="134" spans="1:80" ht="14.25" customHeight="1">
      <c r="A134" s="47">
        <v>127</v>
      </c>
      <c r="B134" s="47" t="s">
        <v>129</v>
      </c>
      <c r="C134" s="48">
        <v>202012</v>
      </c>
      <c r="D134" s="71" t="s">
        <v>261</v>
      </c>
      <c r="E134" s="60" t="s">
        <v>150</v>
      </c>
      <c r="F134" s="50">
        <f t="shared" si="45"/>
        <v>1057</v>
      </c>
      <c r="G134" s="50"/>
      <c r="H134" s="50"/>
      <c r="I134" s="50">
        <f>1041-1+10</f>
        <v>1050</v>
      </c>
      <c r="J134" s="50">
        <v>7</v>
      </c>
      <c r="K134" s="50"/>
      <c r="L134" s="50"/>
      <c r="M134" s="50"/>
      <c r="N134" s="50">
        <v>449</v>
      </c>
      <c r="O134" s="50">
        <f t="shared" si="46"/>
        <v>1506</v>
      </c>
      <c r="P134" s="51">
        <f t="shared" si="34"/>
        <v>15063.2726</v>
      </c>
      <c r="Q134" s="51">
        <f t="shared" si="35"/>
        <v>13256.4234</v>
      </c>
      <c r="R134" s="47">
        <f t="shared" si="47"/>
        <v>4325478</v>
      </c>
      <c r="S134" s="61"/>
      <c r="T134" s="61">
        <f>4299659+25819</f>
        <v>4325478</v>
      </c>
      <c r="U134" s="47">
        <f t="shared" si="48"/>
        <v>5190.5735999999997</v>
      </c>
      <c r="V134" s="51">
        <f t="shared" si="2"/>
        <v>941.62800000000004</v>
      </c>
      <c r="W134" s="47">
        <f t="shared" si="49"/>
        <v>0</v>
      </c>
      <c r="X134" s="67">
        <v>938.73599999999999</v>
      </c>
      <c r="Y134" s="47"/>
      <c r="Z134" s="47"/>
      <c r="AA134" s="47">
        <v>2.8919999999999999</v>
      </c>
      <c r="AB134" s="51">
        <f t="shared" si="63"/>
        <v>1141.56</v>
      </c>
      <c r="AC134" s="47">
        <f t="shared" si="51"/>
        <v>0</v>
      </c>
      <c r="AD134" s="47"/>
      <c r="AE134" s="67">
        <f>ROUND(AG134*3/2*12/10000,4)</f>
        <v>1141.56</v>
      </c>
      <c r="AF134" s="47"/>
      <c r="AG134" s="64">
        <v>634200</v>
      </c>
      <c r="AH134" s="47"/>
      <c r="AI134" s="47">
        <f t="shared" si="53"/>
        <v>2737.63</v>
      </c>
      <c r="AJ134" s="53">
        <f t="shared" ref="AJ134:AJ148" si="81">ROUND((U134+W134+AC134+AE134*2/3+AF134+AI134)*0.16,4)</f>
        <v>1390.279</v>
      </c>
      <c r="AK134" s="53">
        <f t="shared" si="55"/>
        <v>13902790</v>
      </c>
      <c r="AL134" s="47"/>
      <c r="AM134" s="47">
        <f t="shared" si="78"/>
        <v>685.19230000000005</v>
      </c>
      <c r="AN134" s="47">
        <f t="shared" si="79"/>
        <v>645.55129999999997</v>
      </c>
      <c r="AO134" s="47">
        <f t="shared" si="56"/>
        <v>6455513</v>
      </c>
      <c r="AP134" s="47">
        <f t="shared" si="38"/>
        <v>39.640999999999998</v>
      </c>
      <c r="AQ134" s="47">
        <f t="shared" si="57"/>
        <v>396410</v>
      </c>
      <c r="AR134" s="47"/>
      <c r="AS134" s="47">
        <f t="shared" si="73"/>
        <v>126.85129999999999</v>
      </c>
      <c r="AT134" s="47">
        <f t="shared" si="74"/>
        <v>71.353800000000007</v>
      </c>
      <c r="AU134" s="47">
        <f t="shared" si="59"/>
        <v>713538.00000000012</v>
      </c>
      <c r="AV134" s="47">
        <f t="shared" si="69"/>
        <v>55.497399999999999</v>
      </c>
      <c r="AW134" s="47">
        <f t="shared" si="60"/>
        <v>554974</v>
      </c>
      <c r="AX134" s="47">
        <f t="shared" si="80"/>
        <v>1042.7092</v>
      </c>
      <c r="AY134" s="47"/>
      <c r="AZ134" s="47"/>
      <c r="BA134" s="54">
        <v>1E-4</v>
      </c>
      <c r="BB134" s="74" t="s">
        <v>261</v>
      </c>
      <c r="BC134" s="51">
        <f t="shared" si="61"/>
        <v>1623.09</v>
      </c>
      <c r="BD134" s="47"/>
      <c r="BE134" s="47">
        <f t="shared" si="62"/>
        <v>0</v>
      </c>
      <c r="BF134" s="47"/>
      <c r="BG134" s="56">
        <v>1527.09</v>
      </c>
      <c r="BH134" s="47">
        <v>96</v>
      </c>
      <c r="BI134" s="51">
        <f t="shared" si="42"/>
        <v>183.75919999999999</v>
      </c>
      <c r="BJ134" s="51">
        <f t="shared" si="43"/>
        <v>0</v>
      </c>
      <c r="BK134" s="47"/>
      <c r="BL134" s="47"/>
      <c r="BM134" s="47"/>
      <c r="BN134" s="47"/>
      <c r="BO134" s="47"/>
      <c r="BP134" s="68">
        <v>27.2592</v>
      </c>
      <c r="BQ134" s="47"/>
      <c r="BR134" s="47"/>
      <c r="BS134" s="76">
        <v>156.5</v>
      </c>
      <c r="BT134" s="47"/>
      <c r="BU134" s="47"/>
      <c r="BV134" s="47"/>
      <c r="BW134" s="47"/>
      <c r="BX134" s="47"/>
      <c r="BY134" s="47"/>
      <c r="BZ134" s="47"/>
      <c r="CA134" s="47"/>
      <c r="CB134" s="54">
        <f t="shared" si="65"/>
        <v>15063.2726</v>
      </c>
    </row>
    <row r="135" spans="1:80" ht="14.25" customHeight="1">
      <c r="A135" s="47">
        <v>128</v>
      </c>
      <c r="B135" s="47" t="s">
        <v>129</v>
      </c>
      <c r="C135" s="48">
        <v>202013</v>
      </c>
      <c r="D135" s="60" t="s">
        <v>262</v>
      </c>
      <c r="E135" s="60" t="s">
        <v>150</v>
      </c>
      <c r="F135" s="50">
        <f t="shared" si="45"/>
        <v>338</v>
      </c>
      <c r="G135" s="50"/>
      <c r="H135" s="50"/>
      <c r="I135" s="50">
        <f>320</f>
        <v>320</v>
      </c>
      <c r="J135" s="50">
        <v>16</v>
      </c>
      <c r="K135" s="50">
        <v>2</v>
      </c>
      <c r="L135" s="50"/>
      <c r="M135" s="50"/>
      <c r="N135" s="50">
        <v>213</v>
      </c>
      <c r="O135" s="50">
        <f t="shared" si="46"/>
        <v>551</v>
      </c>
      <c r="P135" s="51">
        <f t="shared" si="34"/>
        <v>5098.2582000000002</v>
      </c>
      <c r="Q135" s="51">
        <f t="shared" si="35"/>
        <v>4290.0962</v>
      </c>
      <c r="R135" s="47">
        <f t="shared" si="47"/>
        <v>1325467</v>
      </c>
      <c r="S135" s="61"/>
      <c r="T135" s="61">
        <f>1320487+4980</f>
        <v>1325467</v>
      </c>
      <c r="U135" s="47">
        <f t="shared" si="48"/>
        <v>1590.5604000000001</v>
      </c>
      <c r="V135" s="51">
        <f t="shared" si="2"/>
        <v>447.26400000000001</v>
      </c>
      <c r="W135" s="47">
        <f t="shared" si="49"/>
        <v>0</v>
      </c>
      <c r="X135" s="67">
        <v>294.74400000000003</v>
      </c>
      <c r="Y135" s="67">
        <v>152.52000000000001</v>
      </c>
      <c r="Z135" s="47"/>
      <c r="AA135" s="47"/>
      <c r="AB135" s="51">
        <f t="shared" si="63"/>
        <v>365.04</v>
      </c>
      <c r="AC135" s="47">
        <f t="shared" si="51"/>
        <v>0</v>
      </c>
      <c r="AD135" s="47"/>
      <c r="AE135" s="67">
        <f t="shared" ref="AE135:AE148" si="82">ROUND(AG135*3/2*12/10000,4)</f>
        <v>365.04</v>
      </c>
      <c r="AF135" s="47"/>
      <c r="AG135" s="64">
        <v>202800</v>
      </c>
      <c r="AH135" s="47"/>
      <c r="AI135" s="47">
        <f t="shared" si="53"/>
        <v>875.42</v>
      </c>
      <c r="AJ135" s="53">
        <f t="shared" si="81"/>
        <v>433.49450000000002</v>
      </c>
      <c r="AK135" s="53">
        <f t="shared" si="55"/>
        <v>4334945</v>
      </c>
      <c r="AL135" s="47"/>
      <c r="AM135" s="47">
        <f t="shared" si="78"/>
        <v>213.74080000000001</v>
      </c>
      <c r="AN135" s="47">
        <f t="shared" si="79"/>
        <v>201.4109</v>
      </c>
      <c r="AO135" s="47">
        <f t="shared" si="56"/>
        <v>2014109</v>
      </c>
      <c r="AP135" s="47">
        <f t="shared" si="38"/>
        <v>12.3299</v>
      </c>
      <c r="AQ135" s="47">
        <f t="shared" si="57"/>
        <v>123299</v>
      </c>
      <c r="AR135" s="47"/>
      <c r="AS135" s="47">
        <f t="shared" si="73"/>
        <v>39.4557</v>
      </c>
      <c r="AT135" s="47">
        <f t="shared" si="74"/>
        <v>22.1938</v>
      </c>
      <c r="AU135" s="47">
        <f t="shared" si="59"/>
        <v>221938</v>
      </c>
      <c r="AV135" s="47">
        <f t="shared" si="69"/>
        <v>17.261900000000001</v>
      </c>
      <c r="AW135" s="47">
        <f t="shared" si="60"/>
        <v>172619</v>
      </c>
      <c r="AX135" s="47">
        <f t="shared" si="80"/>
        <v>325.12079999999997</v>
      </c>
      <c r="AY135" s="47"/>
      <c r="AZ135" s="47"/>
      <c r="BA135" s="54">
        <v>1E-4</v>
      </c>
      <c r="BB135" s="65" t="s">
        <v>262</v>
      </c>
      <c r="BC135" s="51">
        <f t="shared" si="61"/>
        <v>369.64499999999998</v>
      </c>
      <c r="BD135" s="47"/>
      <c r="BE135" s="47">
        <f t="shared" si="62"/>
        <v>0</v>
      </c>
      <c r="BF135" s="47"/>
      <c r="BG135" s="56">
        <v>284.64499999999998</v>
      </c>
      <c r="BH135" s="47">
        <v>85</v>
      </c>
      <c r="BI135" s="51">
        <f t="shared" si="42"/>
        <v>438.517</v>
      </c>
      <c r="BJ135" s="51">
        <f t="shared" si="43"/>
        <v>0</v>
      </c>
      <c r="BK135" s="68"/>
      <c r="BL135" s="68"/>
      <c r="BM135" s="47"/>
      <c r="BN135" s="47"/>
      <c r="BO135" s="47"/>
      <c r="BP135" s="68">
        <v>40.692</v>
      </c>
      <c r="BQ135" s="47"/>
      <c r="BR135" s="47"/>
      <c r="BS135" s="76">
        <v>62.524999999999999</v>
      </c>
      <c r="BT135" s="47"/>
      <c r="BU135" s="47"/>
      <c r="BV135" s="47"/>
      <c r="BW135" s="76">
        <v>335.3</v>
      </c>
      <c r="BX135" s="47"/>
      <c r="BY135" s="47"/>
      <c r="BZ135" s="47"/>
      <c r="CA135" s="47"/>
      <c r="CB135" s="54">
        <f t="shared" si="65"/>
        <v>5098.2582000000002</v>
      </c>
    </row>
    <row r="136" spans="1:80" ht="14.25" customHeight="1">
      <c r="A136" s="47">
        <v>129</v>
      </c>
      <c r="B136" s="47" t="s">
        <v>129</v>
      </c>
      <c r="C136" s="48">
        <v>202014</v>
      </c>
      <c r="D136" s="60" t="s">
        <v>263</v>
      </c>
      <c r="E136" s="60" t="s">
        <v>150</v>
      </c>
      <c r="F136" s="50">
        <f t="shared" si="45"/>
        <v>294</v>
      </c>
      <c r="G136" s="50"/>
      <c r="H136" s="50"/>
      <c r="I136" s="50">
        <v>283</v>
      </c>
      <c r="J136" s="50">
        <v>9</v>
      </c>
      <c r="K136" s="50">
        <v>2</v>
      </c>
      <c r="L136" s="50"/>
      <c r="M136" s="50"/>
      <c r="N136" s="50">
        <v>198</v>
      </c>
      <c r="O136" s="50">
        <f t="shared" si="46"/>
        <v>492</v>
      </c>
      <c r="P136" s="51">
        <f t="shared" ref="P136:P159" si="83">Q136+BC136+BI136</f>
        <v>4432.4479000000001</v>
      </c>
      <c r="Q136" s="51">
        <f t="shared" ref="Q136:Q159" si="84">U136+V136+AB136+AH136+AI136+AJ136+AL136+AM136+AR136+AS136+AX136+AY136+AZ136</f>
        <v>3839.2719000000002</v>
      </c>
      <c r="R136" s="47">
        <f t="shared" si="47"/>
        <v>1214057</v>
      </c>
      <c r="S136" s="61"/>
      <c r="T136" s="61">
        <v>1214057</v>
      </c>
      <c r="U136" s="47">
        <f t="shared" si="48"/>
        <v>1456.8684000000001</v>
      </c>
      <c r="V136" s="51">
        <f t="shared" si="2"/>
        <v>395.28000000000003</v>
      </c>
      <c r="W136" s="47">
        <f t="shared" si="49"/>
        <v>0</v>
      </c>
      <c r="X136" s="67">
        <v>259.92</v>
      </c>
      <c r="Y136" s="47">
        <v>135.36000000000001</v>
      </c>
      <c r="Z136" s="56"/>
      <c r="AA136" s="47"/>
      <c r="AB136" s="51">
        <f t="shared" si="63"/>
        <v>317.52</v>
      </c>
      <c r="AC136" s="47">
        <f t="shared" si="51"/>
        <v>0</v>
      </c>
      <c r="AD136" s="47"/>
      <c r="AE136" s="67">
        <f t="shared" si="82"/>
        <v>317.52</v>
      </c>
      <c r="AF136" s="47"/>
      <c r="AG136" s="64">
        <v>176400</v>
      </c>
      <c r="AH136" s="47"/>
      <c r="AI136" s="47">
        <f t="shared" si="53"/>
        <v>761.46</v>
      </c>
      <c r="AJ136" s="53">
        <f t="shared" si="81"/>
        <v>388.80130000000003</v>
      </c>
      <c r="AK136" s="53">
        <f t="shared" si="55"/>
        <v>3888013.0000000005</v>
      </c>
      <c r="AL136" s="47"/>
      <c r="AM136" s="47">
        <f t="shared" si="78"/>
        <v>192.24789999999999</v>
      </c>
      <c r="AN136" s="47">
        <f t="shared" si="79"/>
        <v>181.15629999999999</v>
      </c>
      <c r="AO136" s="47">
        <f t="shared" si="56"/>
        <v>1811562.9999999998</v>
      </c>
      <c r="AP136" s="47">
        <f t="shared" ref="AP136:AP159" si="85">ROUND(((U136+W136+AI136)*0.005),4)</f>
        <v>11.0916</v>
      </c>
      <c r="AQ136" s="47">
        <f t="shared" si="57"/>
        <v>110916</v>
      </c>
      <c r="AR136" s="47"/>
      <c r="AS136" s="47">
        <f t="shared" si="73"/>
        <v>35.493299999999998</v>
      </c>
      <c r="AT136" s="47">
        <f t="shared" si="74"/>
        <v>19.965</v>
      </c>
      <c r="AU136" s="47">
        <f t="shared" si="59"/>
        <v>199650</v>
      </c>
      <c r="AV136" s="47">
        <f t="shared" si="69"/>
        <v>15.5283</v>
      </c>
      <c r="AW136" s="47">
        <f t="shared" si="60"/>
        <v>155283</v>
      </c>
      <c r="AX136" s="47">
        <f t="shared" si="80"/>
        <v>291.601</v>
      </c>
      <c r="AY136" s="47"/>
      <c r="AZ136" s="47"/>
      <c r="BA136" s="54">
        <v>1E-4</v>
      </c>
      <c r="BB136" s="65" t="s">
        <v>263</v>
      </c>
      <c r="BC136" s="51">
        <f t="shared" si="61"/>
        <v>275.05</v>
      </c>
      <c r="BD136" s="47"/>
      <c r="BE136" s="47">
        <f t="shared" si="62"/>
        <v>0</v>
      </c>
      <c r="BF136" s="47"/>
      <c r="BG136" s="56">
        <v>230.05</v>
      </c>
      <c r="BH136" s="47">
        <v>45</v>
      </c>
      <c r="BI136" s="51">
        <f t="shared" ref="BI136:BI159" si="86">BJ136+BN136+BO136+BP136+BQ136+BS136+BT136+BU136+BV136+BW136+BR136</f>
        <v>318.12599999999998</v>
      </c>
      <c r="BJ136" s="51">
        <f t="shared" ref="BJ136:BJ160" si="87">BL136+BM136+BK136</f>
        <v>0</v>
      </c>
      <c r="BK136" s="47"/>
      <c r="BL136" s="47"/>
      <c r="BM136" s="68"/>
      <c r="BN136" s="68"/>
      <c r="BO136" s="47"/>
      <c r="BP136" s="68">
        <v>13.176</v>
      </c>
      <c r="BQ136" s="47"/>
      <c r="BR136" s="47"/>
      <c r="BS136" s="76">
        <v>44.75</v>
      </c>
      <c r="BT136" s="47"/>
      <c r="BU136" s="47"/>
      <c r="BV136" s="47"/>
      <c r="BW136" s="76">
        <v>260.2</v>
      </c>
      <c r="BX136" s="47"/>
      <c r="BY136" s="47"/>
      <c r="BZ136" s="47"/>
      <c r="CA136" s="47"/>
      <c r="CB136" s="54">
        <f t="shared" ref="CB136:CB163" si="88">P136+BX136+BZ136+BY136+CA136</f>
        <v>4432.4479000000001</v>
      </c>
    </row>
    <row r="137" spans="1:80" ht="14.25" customHeight="1">
      <c r="A137" s="47">
        <v>130</v>
      </c>
      <c r="B137" s="47" t="s">
        <v>129</v>
      </c>
      <c r="C137" s="48">
        <v>202015</v>
      </c>
      <c r="D137" s="60" t="s">
        <v>264</v>
      </c>
      <c r="E137" s="60" t="s">
        <v>150</v>
      </c>
      <c r="F137" s="50">
        <f t="shared" ref="F137:F163" si="89">SUM(G137:K137)</f>
        <v>416</v>
      </c>
      <c r="G137" s="50"/>
      <c r="H137" s="50"/>
      <c r="I137" s="50">
        <f>385+13</f>
        <v>398</v>
      </c>
      <c r="J137" s="50">
        <v>7</v>
      </c>
      <c r="K137" s="50">
        <v>11</v>
      </c>
      <c r="L137" s="50"/>
      <c r="M137" s="50">
        <v>1</v>
      </c>
      <c r="N137" s="50">
        <v>225</v>
      </c>
      <c r="O137" s="50">
        <f t="shared" ref="O137:O163" si="90">F137+L137+M137+N137</f>
        <v>642</v>
      </c>
      <c r="P137" s="51">
        <f t="shared" si="83"/>
        <v>6375.3327000000008</v>
      </c>
      <c r="Q137" s="51">
        <f t="shared" si="84"/>
        <v>5041.1467000000002</v>
      </c>
      <c r="R137" s="47">
        <f t="shared" ref="R137:R163" si="91">S137+T137</f>
        <v>1496450</v>
      </c>
      <c r="S137" s="61"/>
      <c r="T137" s="61">
        <f>1470975+25475</f>
        <v>1496450</v>
      </c>
      <c r="U137" s="47">
        <f t="shared" ref="U137:U162" si="92">ROUND(R137*12/10000,5)</f>
        <v>1795.74</v>
      </c>
      <c r="V137" s="51">
        <f t="shared" si="2"/>
        <v>535.33199999999999</v>
      </c>
      <c r="W137" s="47">
        <f t="shared" ref="W137:W162" si="93">ROUND((G137+H137)*2.25,4)</f>
        <v>0</v>
      </c>
      <c r="X137" s="67">
        <v>342.43200000000002</v>
      </c>
      <c r="Y137" s="47">
        <v>192.9</v>
      </c>
      <c r="Z137" s="56"/>
      <c r="AA137" s="47"/>
      <c r="AB137" s="51">
        <f t="shared" si="63"/>
        <v>449.28</v>
      </c>
      <c r="AC137" s="47">
        <f t="shared" ref="AC137:AC163" si="94">ROUND(S137/10000,4)</f>
        <v>0</v>
      </c>
      <c r="AD137" s="47"/>
      <c r="AE137" s="67">
        <f t="shared" si="82"/>
        <v>449.28</v>
      </c>
      <c r="AF137" s="47"/>
      <c r="AG137" s="64">
        <v>249600</v>
      </c>
      <c r="AH137" s="47"/>
      <c r="AI137" s="47">
        <f t="shared" ref="AI137:AI162" si="95">ROUND(2.59*(I137+J137+K137),4)</f>
        <v>1077.44</v>
      </c>
      <c r="AJ137" s="53">
        <f t="shared" si="81"/>
        <v>507.63200000000001</v>
      </c>
      <c r="AK137" s="53">
        <f t="shared" ref="AK137:AK159" si="96">AJ137*10000</f>
        <v>5076320</v>
      </c>
      <c r="AL137" s="47"/>
      <c r="AM137" s="47">
        <f t="shared" si="78"/>
        <v>249.02780000000001</v>
      </c>
      <c r="AN137" s="47">
        <f t="shared" si="79"/>
        <v>234.6619</v>
      </c>
      <c r="AO137" s="47">
        <f t="shared" ref="AO137:AO159" si="97">AN137*10000</f>
        <v>2346619</v>
      </c>
      <c r="AP137" s="47">
        <f t="shared" si="85"/>
        <v>14.3659</v>
      </c>
      <c r="AQ137" s="47">
        <f t="shared" ref="AQ137:AQ159" si="98">AP137*10000</f>
        <v>143659</v>
      </c>
      <c r="AR137" s="47"/>
      <c r="AS137" s="47">
        <f t="shared" si="73"/>
        <v>45.9709</v>
      </c>
      <c r="AT137" s="47">
        <f t="shared" si="74"/>
        <v>25.858599999999999</v>
      </c>
      <c r="AU137" s="47">
        <f t="shared" ref="AU137:AU159" si="99">AT137*10000</f>
        <v>258586</v>
      </c>
      <c r="AV137" s="47">
        <f t="shared" si="69"/>
        <v>20.112300000000001</v>
      </c>
      <c r="AW137" s="47">
        <f t="shared" ref="AW137:AW159" si="100">AV137*10000</f>
        <v>201123</v>
      </c>
      <c r="AX137" s="47">
        <f t="shared" si="80"/>
        <v>380.72399999999999</v>
      </c>
      <c r="AY137" s="47"/>
      <c r="AZ137" s="47"/>
      <c r="BA137" s="54">
        <v>1E-4</v>
      </c>
      <c r="BB137" s="65" t="s">
        <v>264</v>
      </c>
      <c r="BC137" s="51">
        <f t="shared" ref="BC137:BC163" si="101">BD137+BE137+BG137+BH137</f>
        <v>576.05500000000006</v>
      </c>
      <c r="BD137" s="47"/>
      <c r="BE137" s="47">
        <f t="shared" ref="BE137:BE162" si="102">ROUND(BF137*12/10000,4)</f>
        <v>0</v>
      </c>
      <c r="BF137" s="47"/>
      <c r="BG137" s="56">
        <v>496.05500000000001</v>
      </c>
      <c r="BH137" s="47">
        <v>80</v>
      </c>
      <c r="BI137" s="51">
        <f t="shared" si="86"/>
        <v>758.13099999999997</v>
      </c>
      <c r="BJ137" s="51">
        <f t="shared" si="87"/>
        <v>4.3860000000000001</v>
      </c>
      <c r="BK137" s="47"/>
      <c r="BL137" s="47">
        <v>4.3860000000000001</v>
      </c>
      <c r="BM137" s="47"/>
      <c r="BN137" s="47"/>
      <c r="BO137" s="47"/>
      <c r="BP137" s="68">
        <v>26.47</v>
      </c>
      <c r="BQ137" s="47"/>
      <c r="BR137" s="47"/>
      <c r="BS137" s="76">
        <v>148.97499999999999</v>
      </c>
      <c r="BT137" s="47"/>
      <c r="BU137" s="47"/>
      <c r="BV137" s="47"/>
      <c r="BW137" s="76">
        <v>578.29999999999995</v>
      </c>
      <c r="BX137" s="47"/>
      <c r="BY137" s="47"/>
      <c r="BZ137" s="47"/>
      <c r="CA137" s="47"/>
      <c r="CB137" s="54">
        <f t="shared" si="88"/>
        <v>6375.3327000000008</v>
      </c>
    </row>
    <row r="138" spans="1:80" ht="14.25" customHeight="1">
      <c r="A138" s="47">
        <v>131</v>
      </c>
      <c r="B138" s="47" t="s">
        <v>129</v>
      </c>
      <c r="C138" s="48">
        <v>202016</v>
      </c>
      <c r="D138" s="60" t="s">
        <v>265</v>
      </c>
      <c r="E138" s="60" t="s">
        <v>150</v>
      </c>
      <c r="F138" s="50">
        <f t="shared" si="89"/>
        <v>147</v>
      </c>
      <c r="G138" s="50"/>
      <c r="H138" s="50"/>
      <c r="I138" s="50">
        <f>121+14</f>
        <v>135</v>
      </c>
      <c r="J138" s="50">
        <v>3</v>
      </c>
      <c r="K138" s="50">
        <v>9</v>
      </c>
      <c r="L138" s="50"/>
      <c r="M138" s="50"/>
      <c r="N138" s="50">
        <v>84</v>
      </c>
      <c r="O138" s="50">
        <f t="shared" si="90"/>
        <v>231</v>
      </c>
      <c r="P138" s="51">
        <f t="shared" si="83"/>
        <v>2080.7352000000001</v>
      </c>
      <c r="Q138" s="51">
        <f t="shared" si="84"/>
        <v>1695.0352</v>
      </c>
      <c r="R138" s="47">
        <f t="shared" si="91"/>
        <v>486758</v>
      </c>
      <c r="S138" s="61"/>
      <c r="T138" s="61">
        <f>459460+27298</f>
        <v>486758</v>
      </c>
      <c r="U138" s="47">
        <f t="shared" si="92"/>
        <v>584.1096</v>
      </c>
      <c r="V138" s="51">
        <f t="shared" si="2"/>
        <v>172.464</v>
      </c>
      <c r="W138" s="47">
        <f t="shared" si="93"/>
        <v>0</v>
      </c>
      <c r="X138" s="67">
        <v>114.624</v>
      </c>
      <c r="Y138" s="47">
        <v>57.84</v>
      </c>
      <c r="Z138" s="56"/>
      <c r="AA138" s="47"/>
      <c r="AB138" s="51">
        <f t="shared" si="63"/>
        <v>158.76</v>
      </c>
      <c r="AC138" s="47">
        <f t="shared" si="94"/>
        <v>0</v>
      </c>
      <c r="AD138" s="47"/>
      <c r="AE138" s="67">
        <f t="shared" si="82"/>
        <v>158.76</v>
      </c>
      <c r="AF138" s="47"/>
      <c r="AG138" s="64">
        <v>88200</v>
      </c>
      <c r="AH138" s="47"/>
      <c r="AI138" s="47">
        <f t="shared" si="95"/>
        <v>380.73</v>
      </c>
      <c r="AJ138" s="53">
        <f t="shared" si="81"/>
        <v>171.30869999999999</v>
      </c>
      <c r="AK138" s="53">
        <f t="shared" si="96"/>
        <v>1713086.9999999998</v>
      </c>
      <c r="AL138" s="47"/>
      <c r="AM138" s="47">
        <f t="shared" si="78"/>
        <v>83.743899999999996</v>
      </c>
      <c r="AN138" s="47">
        <f t="shared" si="79"/>
        <v>78.919700000000006</v>
      </c>
      <c r="AO138" s="47">
        <f t="shared" si="97"/>
        <v>789197.00000000012</v>
      </c>
      <c r="AP138" s="47">
        <f t="shared" si="85"/>
        <v>4.8242000000000003</v>
      </c>
      <c r="AQ138" s="47">
        <f t="shared" si="98"/>
        <v>48242</v>
      </c>
      <c r="AR138" s="47"/>
      <c r="AS138" s="47">
        <f t="shared" si="73"/>
        <v>15.4374</v>
      </c>
      <c r="AT138" s="47">
        <f t="shared" si="74"/>
        <v>8.6836000000000002</v>
      </c>
      <c r="AU138" s="47">
        <f t="shared" si="99"/>
        <v>86836</v>
      </c>
      <c r="AV138" s="47">
        <f t="shared" si="69"/>
        <v>6.7538999999999998</v>
      </c>
      <c r="AW138" s="47">
        <f t="shared" si="100"/>
        <v>67539</v>
      </c>
      <c r="AX138" s="47">
        <f t="shared" si="80"/>
        <v>128.48159999999999</v>
      </c>
      <c r="AY138" s="47"/>
      <c r="AZ138" s="47"/>
      <c r="BA138" s="54">
        <v>1E-4</v>
      </c>
      <c r="BB138" s="65" t="s">
        <v>265</v>
      </c>
      <c r="BC138" s="51">
        <f t="shared" si="101"/>
        <v>206.1</v>
      </c>
      <c r="BD138" s="47"/>
      <c r="BE138" s="47">
        <f t="shared" si="102"/>
        <v>0</v>
      </c>
      <c r="BF138" s="47"/>
      <c r="BG138" s="56">
        <v>128.1</v>
      </c>
      <c r="BH138" s="47">
        <v>78</v>
      </c>
      <c r="BI138" s="51">
        <f t="shared" si="86"/>
        <v>179.60000000000002</v>
      </c>
      <c r="BJ138" s="51">
        <f t="shared" si="87"/>
        <v>0</v>
      </c>
      <c r="BK138" s="68"/>
      <c r="BL138" s="68"/>
      <c r="BM138" s="47"/>
      <c r="BN138" s="47"/>
      <c r="BO138" s="47"/>
      <c r="BP138" s="68">
        <v>11.52</v>
      </c>
      <c r="BQ138" s="47"/>
      <c r="BR138" s="47"/>
      <c r="BS138" s="76">
        <v>34.68</v>
      </c>
      <c r="BT138" s="47"/>
      <c r="BU138" s="47"/>
      <c r="BV138" s="47"/>
      <c r="BW138" s="76">
        <v>133.4</v>
      </c>
      <c r="BX138" s="47"/>
      <c r="BY138" s="47"/>
      <c r="BZ138" s="47"/>
      <c r="CA138" s="47"/>
      <c r="CB138" s="54">
        <f t="shared" si="88"/>
        <v>2080.7352000000001</v>
      </c>
    </row>
    <row r="139" spans="1:80" ht="14.25" customHeight="1">
      <c r="A139" s="47">
        <v>132</v>
      </c>
      <c r="B139" s="47" t="s">
        <v>129</v>
      </c>
      <c r="C139" s="48">
        <v>202017</v>
      </c>
      <c r="D139" s="60" t="s">
        <v>266</v>
      </c>
      <c r="E139" s="60" t="s">
        <v>150</v>
      </c>
      <c r="F139" s="50">
        <f t="shared" si="89"/>
        <v>169</v>
      </c>
      <c r="G139" s="50"/>
      <c r="H139" s="50"/>
      <c r="I139" s="50">
        <f>151+8</f>
        <v>159</v>
      </c>
      <c r="J139" s="50">
        <v>2</v>
      </c>
      <c r="K139" s="50">
        <v>8</v>
      </c>
      <c r="L139" s="50"/>
      <c r="M139" s="50"/>
      <c r="N139" s="50">
        <v>84</v>
      </c>
      <c r="O139" s="50">
        <f t="shared" si="90"/>
        <v>253</v>
      </c>
      <c r="P139" s="51">
        <f t="shared" si="83"/>
        <v>2590.5945999999999</v>
      </c>
      <c r="Q139" s="51">
        <f t="shared" si="84"/>
        <v>2022.0589999999997</v>
      </c>
      <c r="R139" s="47">
        <f t="shared" si="91"/>
        <v>594645</v>
      </c>
      <c r="S139" s="61"/>
      <c r="T139" s="61">
        <f>579775+14870</f>
        <v>594645</v>
      </c>
      <c r="U139" s="47">
        <f t="shared" si="92"/>
        <v>713.57399999999996</v>
      </c>
      <c r="V139" s="51">
        <f t="shared" si="2"/>
        <v>213.64800000000002</v>
      </c>
      <c r="W139" s="47">
        <f t="shared" si="93"/>
        <v>0</v>
      </c>
      <c r="X139" s="67">
        <v>139.608</v>
      </c>
      <c r="Y139" s="47">
        <v>73.680000000000007</v>
      </c>
      <c r="Z139" s="56"/>
      <c r="AA139" s="47">
        <v>0.36</v>
      </c>
      <c r="AB139" s="51">
        <f t="shared" si="63"/>
        <v>182.52</v>
      </c>
      <c r="AC139" s="47">
        <f t="shared" si="94"/>
        <v>0</v>
      </c>
      <c r="AD139" s="47"/>
      <c r="AE139" s="67">
        <f t="shared" si="82"/>
        <v>182.52</v>
      </c>
      <c r="AF139" s="47"/>
      <c r="AG139" s="64">
        <v>101400</v>
      </c>
      <c r="AH139" s="47"/>
      <c r="AI139" s="47">
        <f t="shared" si="95"/>
        <v>437.71</v>
      </c>
      <c r="AJ139" s="53">
        <f t="shared" si="81"/>
        <v>203.67420000000001</v>
      </c>
      <c r="AK139" s="53">
        <f t="shared" si="96"/>
        <v>2036742.0000000002</v>
      </c>
      <c r="AL139" s="47"/>
      <c r="AM139" s="47">
        <f t="shared" si="78"/>
        <v>99.756600000000006</v>
      </c>
      <c r="AN139" s="47">
        <f t="shared" si="79"/>
        <v>94.000200000000007</v>
      </c>
      <c r="AO139" s="47">
        <f t="shared" si="97"/>
        <v>940002.00000000012</v>
      </c>
      <c r="AP139" s="47">
        <f t="shared" si="85"/>
        <v>5.7564000000000002</v>
      </c>
      <c r="AQ139" s="47">
        <f t="shared" si="98"/>
        <v>57564</v>
      </c>
      <c r="AR139" s="47"/>
      <c r="AS139" s="47">
        <f t="shared" si="73"/>
        <v>18.420500000000001</v>
      </c>
      <c r="AT139" s="47">
        <f t="shared" si="74"/>
        <v>10.361599999999999</v>
      </c>
      <c r="AU139" s="47">
        <f t="shared" si="99"/>
        <v>103615.99999999999</v>
      </c>
      <c r="AV139" s="47">
        <f t="shared" si="69"/>
        <v>8.0589999999999993</v>
      </c>
      <c r="AW139" s="47">
        <f t="shared" si="100"/>
        <v>80590</v>
      </c>
      <c r="AX139" s="47">
        <f t="shared" si="80"/>
        <v>152.75569999999999</v>
      </c>
      <c r="AY139" s="47"/>
      <c r="AZ139" s="47"/>
      <c r="BA139" s="54">
        <v>1E-4</v>
      </c>
      <c r="BB139" s="65" t="s">
        <v>266</v>
      </c>
      <c r="BC139" s="51">
        <f t="shared" si="101"/>
        <v>276.21500000000003</v>
      </c>
      <c r="BD139" s="47"/>
      <c r="BE139" s="47">
        <f t="shared" si="102"/>
        <v>0</v>
      </c>
      <c r="BF139" s="47"/>
      <c r="BG139" s="56">
        <v>213.215</v>
      </c>
      <c r="BH139" s="47">
        <v>63</v>
      </c>
      <c r="BI139" s="51">
        <f t="shared" si="86"/>
        <v>292.32060000000001</v>
      </c>
      <c r="BJ139" s="51">
        <f t="shared" si="87"/>
        <v>0</v>
      </c>
      <c r="BK139" s="47"/>
      <c r="BL139" s="47"/>
      <c r="BM139" s="47"/>
      <c r="BN139" s="47"/>
      <c r="BO139" s="47"/>
      <c r="BP139" s="68">
        <v>8.4155999999999995</v>
      </c>
      <c r="BQ139" s="47"/>
      <c r="BR139" s="47"/>
      <c r="BS139" s="76">
        <v>66.004999999999995</v>
      </c>
      <c r="BT139" s="47"/>
      <c r="BU139" s="47"/>
      <c r="BV139" s="47"/>
      <c r="BW139" s="76">
        <v>217.9</v>
      </c>
      <c r="BX139" s="47"/>
      <c r="BY139" s="47"/>
      <c r="BZ139" s="47"/>
      <c r="CA139" s="47"/>
      <c r="CB139" s="54">
        <f t="shared" si="88"/>
        <v>2590.5945999999999</v>
      </c>
    </row>
    <row r="140" spans="1:80" ht="14.25" customHeight="1">
      <c r="A140" s="47">
        <v>133</v>
      </c>
      <c r="B140" s="47" t="s">
        <v>129</v>
      </c>
      <c r="C140" s="48">
        <v>202018</v>
      </c>
      <c r="D140" s="60" t="s">
        <v>267</v>
      </c>
      <c r="E140" s="60" t="s">
        <v>150</v>
      </c>
      <c r="F140" s="50">
        <f t="shared" si="89"/>
        <v>244</v>
      </c>
      <c r="G140" s="50"/>
      <c r="H140" s="50"/>
      <c r="I140" s="50">
        <f>203+17</f>
        <v>220</v>
      </c>
      <c r="J140" s="50">
        <v>9</v>
      </c>
      <c r="K140" s="50">
        <v>15</v>
      </c>
      <c r="L140" s="50"/>
      <c r="M140" s="50"/>
      <c r="N140" s="50">
        <v>144</v>
      </c>
      <c r="O140" s="50">
        <f t="shared" si="90"/>
        <v>388</v>
      </c>
      <c r="P140" s="51">
        <f t="shared" si="83"/>
        <v>3476.8319000000001</v>
      </c>
      <c r="Q140" s="51">
        <f t="shared" si="84"/>
        <v>2899.9019000000003</v>
      </c>
      <c r="R140" s="47">
        <f t="shared" si="91"/>
        <v>842250</v>
      </c>
      <c r="S140" s="61"/>
      <c r="T140" s="61">
        <f>806927+35323</f>
        <v>842250</v>
      </c>
      <c r="U140" s="47">
        <f t="shared" si="92"/>
        <v>1010.7</v>
      </c>
      <c r="V140" s="51">
        <f t="shared" si="2"/>
        <v>315.76800000000003</v>
      </c>
      <c r="W140" s="47">
        <f t="shared" si="93"/>
        <v>0</v>
      </c>
      <c r="X140" s="67">
        <v>198.648</v>
      </c>
      <c r="Y140" s="47">
        <v>117.12</v>
      </c>
      <c r="Z140" s="56"/>
      <c r="AA140" s="47"/>
      <c r="AB140" s="51">
        <f t="shared" si="63"/>
        <v>263.52</v>
      </c>
      <c r="AC140" s="47">
        <f t="shared" si="94"/>
        <v>0</v>
      </c>
      <c r="AD140" s="47"/>
      <c r="AE140" s="67">
        <f t="shared" si="82"/>
        <v>263.52</v>
      </c>
      <c r="AF140" s="47"/>
      <c r="AG140" s="64">
        <v>146400</v>
      </c>
      <c r="AH140" s="47"/>
      <c r="AI140" s="47">
        <f t="shared" si="95"/>
        <v>631.96</v>
      </c>
      <c r="AJ140" s="53">
        <f t="shared" si="81"/>
        <v>290.93439999999998</v>
      </c>
      <c r="AK140" s="53">
        <f t="shared" si="96"/>
        <v>2909344</v>
      </c>
      <c r="AL140" s="47"/>
      <c r="AM140" s="47">
        <f t="shared" si="78"/>
        <v>142.5361</v>
      </c>
      <c r="AN140" s="47">
        <f t="shared" si="79"/>
        <v>134.3228</v>
      </c>
      <c r="AO140" s="47">
        <f t="shared" si="97"/>
        <v>1343228</v>
      </c>
      <c r="AP140" s="47">
        <f t="shared" si="85"/>
        <v>8.2133000000000003</v>
      </c>
      <c r="AQ140" s="47">
        <f t="shared" si="98"/>
        <v>82133</v>
      </c>
      <c r="AR140" s="47"/>
      <c r="AS140" s="47">
        <f t="shared" si="73"/>
        <v>26.282599999999999</v>
      </c>
      <c r="AT140" s="47">
        <f t="shared" si="74"/>
        <v>14.783899999999999</v>
      </c>
      <c r="AU140" s="47">
        <f t="shared" si="99"/>
        <v>147839</v>
      </c>
      <c r="AV140" s="47">
        <f t="shared" si="69"/>
        <v>11.4986</v>
      </c>
      <c r="AW140" s="47">
        <f t="shared" si="100"/>
        <v>114986</v>
      </c>
      <c r="AX140" s="47">
        <f t="shared" si="80"/>
        <v>218.20079999999999</v>
      </c>
      <c r="AY140" s="47"/>
      <c r="AZ140" s="47"/>
      <c r="BA140" s="54">
        <v>1E-4</v>
      </c>
      <c r="BB140" s="65" t="s">
        <v>267</v>
      </c>
      <c r="BC140" s="51">
        <f t="shared" si="101"/>
        <v>250.60499999999999</v>
      </c>
      <c r="BD140" s="47"/>
      <c r="BE140" s="47">
        <f t="shared" si="102"/>
        <v>0</v>
      </c>
      <c r="BF140" s="47"/>
      <c r="BG140" s="56">
        <v>232.60499999999999</v>
      </c>
      <c r="BH140" s="47">
        <v>18</v>
      </c>
      <c r="BI140" s="51">
        <f t="shared" si="86"/>
        <v>326.32499999999999</v>
      </c>
      <c r="BJ140" s="51">
        <f t="shared" si="87"/>
        <v>0</v>
      </c>
      <c r="BK140" s="47"/>
      <c r="BL140" s="47"/>
      <c r="BM140" s="47"/>
      <c r="BN140" s="47"/>
      <c r="BO140" s="47"/>
      <c r="BP140" s="68">
        <v>20.05</v>
      </c>
      <c r="BQ140" s="47"/>
      <c r="BR140" s="47"/>
      <c r="BS140" s="76">
        <v>57.575000000000003</v>
      </c>
      <c r="BT140" s="47"/>
      <c r="BU140" s="47"/>
      <c r="BV140" s="47"/>
      <c r="BW140" s="76">
        <v>248.7</v>
      </c>
      <c r="BX140" s="47"/>
      <c r="BY140" s="47"/>
      <c r="BZ140" s="47"/>
      <c r="CA140" s="47"/>
      <c r="CB140" s="54">
        <f t="shared" si="88"/>
        <v>3476.8319000000001</v>
      </c>
    </row>
    <row r="141" spans="1:80" ht="14.25" customHeight="1">
      <c r="A141" s="47">
        <v>134</v>
      </c>
      <c r="B141" s="47" t="s">
        <v>129</v>
      </c>
      <c r="C141" s="48">
        <v>202019</v>
      </c>
      <c r="D141" s="60" t="s">
        <v>268</v>
      </c>
      <c r="E141" s="60" t="s">
        <v>150</v>
      </c>
      <c r="F141" s="50">
        <f t="shared" si="89"/>
        <v>248</v>
      </c>
      <c r="G141" s="50"/>
      <c r="H141" s="50"/>
      <c r="I141" s="50">
        <f>216+19</f>
        <v>235</v>
      </c>
      <c r="J141" s="50">
        <v>6</v>
      </c>
      <c r="K141" s="50">
        <f>3+4</f>
        <v>7</v>
      </c>
      <c r="L141" s="50"/>
      <c r="M141" s="50"/>
      <c r="N141" s="50">
        <v>161</v>
      </c>
      <c r="O141" s="50">
        <f t="shared" si="90"/>
        <v>409</v>
      </c>
      <c r="P141" s="51">
        <f t="shared" si="83"/>
        <v>3650.7031999999995</v>
      </c>
      <c r="Q141" s="51">
        <f t="shared" si="84"/>
        <v>3020.5300999999995</v>
      </c>
      <c r="R141" s="47">
        <f t="shared" si="91"/>
        <v>907795</v>
      </c>
      <c r="S141" s="61"/>
      <c r="T141" s="61">
        <f>867141+40654</f>
        <v>907795</v>
      </c>
      <c r="U141" s="47">
        <f t="shared" si="92"/>
        <v>1089.354</v>
      </c>
      <c r="V141" s="51">
        <f t="shared" si="2"/>
        <v>308.18400000000003</v>
      </c>
      <c r="W141" s="47">
        <f t="shared" si="93"/>
        <v>0</v>
      </c>
      <c r="X141" s="67">
        <v>201.26400000000001</v>
      </c>
      <c r="Y141" s="47">
        <v>106.92</v>
      </c>
      <c r="Z141" s="56"/>
      <c r="AA141" s="47"/>
      <c r="AB141" s="51">
        <f t="shared" si="63"/>
        <v>267.83999999999997</v>
      </c>
      <c r="AC141" s="47">
        <f t="shared" si="94"/>
        <v>0</v>
      </c>
      <c r="AD141" s="47"/>
      <c r="AE141" s="67">
        <f t="shared" si="82"/>
        <v>267.83999999999997</v>
      </c>
      <c r="AF141" s="47"/>
      <c r="AG141" s="64">
        <v>148800</v>
      </c>
      <c r="AH141" s="47"/>
      <c r="AI141" s="47">
        <f t="shared" si="95"/>
        <v>642.32000000000005</v>
      </c>
      <c r="AJ141" s="53">
        <f t="shared" si="81"/>
        <v>305.63740000000001</v>
      </c>
      <c r="AK141" s="53">
        <f t="shared" si="96"/>
        <v>3056374</v>
      </c>
      <c r="AL141" s="47"/>
      <c r="AM141" s="47">
        <f t="shared" si="78"/>
        <v>150.25980000000001</v>
      </c>
      <c r="AN141" s="47">
        <f t="shared" si="79"/>
        <v>141.60140000000001</v>
      </c>
      <c r="AO141" s="47">
        <f t="shared" si="97"/>
        <v>1416014.0000000002</v>
      </c>
      <c r="AP141" s="47">
        <f t="shared" si="85"/>
        <v>8.6584000000000003</v>
      </c>
      <c r="AQ141" s="47">
        <f t="shared" si="98"/>
        <v>86584</v>
      </c>
      <c r="AR141" s="47"/>
      <c r="AS141" s="47">
        <f t="shared" si="73"/>
        <v>27.706800000000001</v>
      </c>
      <c r="AT141" s="47">
        <f t="shared" si="74"/>
        <v>15.585100000000001</v>
      </c>
      <c r="AU141" s="47">
        <f t="shared" si="99"/>
        <v>155851</v>
      </c>
      <c r="AV141" s="47">
        <f t="shared" si="69"/>
        <v>12.121700000000001</v>
      </c>
      <c r="AW141" s="47">
        <f t="shared" si="100"/>
        <v>121217</v>
      </c>
      <c r="AX141" s="47">
        <f t="shared" si="80"/>
        <v>229.22810000000001</v>
      </c>
      <c r="AY141" s="47"/>
      <c r="AZ141" s="47"/>
      <c r="BA141" s="54">
        <v>1E-4</v>
      </c>
      <c r="BB141" s="65" t="s">
        <v>268</v>
      </c>
      <c r="BC141" s="51">
        <f t="shared" si="101"/>
        <v>286.85000000000002</v>
      </c>
      <c r="BD141" s="47"/>
      <c r="BE141" s="47">
        <f t="shared" si="102"/>
        <v>0</v>
      </c>
      <c r="BF141" s="47"/>
      <c r="BG141" s="56">
        <v>241.85</v>
      </c>
      <c r="BH141" s="47">
        <v>45</v>
      </c>
      <c r="BI141" s="51">
        <f t="shared" si="86"/>
        <v>343.32309999999995</v>
      </c>
      <c r="BJ141" s="51">
        <f t="shared" si="87"/>
        <v>0</v>
      </c>
      <c r="BK141" s="68"/>
      <c r="BL141" s="68"/>
      <c r="BM141" s="47"/>
      <c r="BN141" s="47"/>
      <c r="BO141" s="47"/>
      <c r="BP141" s="68">
        <v>16.125599999999999</v>
      </c>
      <c r="BQ141" s="47"/>
      <c r="BR141" s="47"/>
      <c r="BS141" s="76">
        <f>50.235+1.5625</f>
        <v>51.797499999999999</v>
      </c>
      <c r="BT141" s="47"/>
      <c r="BU141" s="47"/>
      <c r="BV141" s="47"/>
      <c r="BW141" s="76">
        <v>275.39999999999998</v>
      </c>
      <c r="BX141" s="47"/>
      <c r="BY141" s="47"/>
      <c r="BZ141" s="47"/>
      <c r="CA141" s="47"/>
      <c r="CB141" s="54">
        <f t="shared" si="88"/>
        <v>3650.7031999999995</v>
      </c>
    </row>
    <row r="142" spans="1:80" ht="14.25" customHeight="1">
      <c r="A142" s="47">
        <v>135</v>
      </c>
      <c r="B142" s="47" t="s">
        <v>129</v>
      </c>
      <c r="C142" s="48">
        <v>202020</v>
      </c>
      <c r="D142" s="60" t="s">
        <v>269</v>
      </c>
      <c r="E142" s="60" t="s">
        <v>150</v>
      </c>
      <c r="F142" s="50">
        <f t="shared" si="89"/>
        <v>467</v>
      </c>
      <c r="G142" s="50"/>
      <c r="H142" s="50"/>
      <c r="I142" s="50">
        <f>415+21</f>
        <v>436</v>
      </c>
      <c r="J142" s="50">
        <v>8</v>
      </c>
      <c r="K142" s="50">
        <v>23</v>
      </c>
      <c r="L142" s="50"/>
      <c r="M142" s="50">
        <v>1</v>
      </c>
      <c r="N142" s="50">
        <v>369</v>
      </c>
      <c r="O142" s="50">
        <f t="shared" si="90"/>
        <v>837</v>
      </c>
      <c r="P142" s="51">
        <f t="shared" si="83"/>
        <v>7158.3068000000003</v>
      </c>
      <c r="Q142" s="51">
        <f t="shared" si="84"/>
        <v>5615.1391999999996</v>
      </c>
      <c r="R142" s="47">
        <f t="shared" si="91"/>
        <v>1665644</v>
      </c>
      <c r="S142" s="61"/>
      <c r="T142" s="61">
        <f>1581844+83800</f>
        <v>1665644</v>
      </c>
      <c r="U142" s="47">
        <f t="shared" si="92"/>
        <v>1998.7728</v>
      </c>
      <c r="V142" s="51">
        <f t="shared" si="2"/>
        <v>579.69600000000003</v>
      </c>
      <c r="W142" s="47">
        <f t="shared" si="93"/>
        <v>0</v>
      </c>
      <c r="X142" s="67">
        <v>380.01600000000002</v>
      </c>
      <c r="Y142" s="47">
        <v>199.68</v>
      </c>
      <c r="Z142" s="56"/>
      <c r="AA142" s="47"/>
      <c r="AB142" s="51">
        <f t="shared" si="63"/>
        <v>504.36</v>
      </c>
      <c r="AC142" s="47">
        <f t="shared" si="94"/>
        <v>0</v>
      </c>
      <c r="AD142" s="47"/>
      <c r="AE142" s="67">
        <f t="shared" si="82"/>
        <v>504.36</v>
      </c>
      <c r="AF142" s="47"/>
      <c r="AG142" s="64">
        <v>280200</v>
      </c>
      <c r="AH142" s="47"/>
      <c r="AI142" s="47">
        <f t="shared" si="95"/>
        <v>1209.53</v>
      </c>
      <c r="AJ142" s="53">
        <f t="shared" si="81"/>
        <v>567.1268</v>
      </c>
      <c r="AK142" s="53">
        <f t="shared" si="96"/>
        <v>5671268</v>
      </c>
      <c r="AL142" s="47"/>
      <c r="AM142" s="47">
        <f t="shared" si="78"/>
        <v>278.97570000000002</v>
      </c>
      <c r="AN142" s="47">
        <f t="shared" si="79"/>
        <v>262.93419999999998</v>
      </c>
      <c r="AO142" s="47">
        <f t="shared" si="97"/>
        <v>2629341.9999999995</v>
      </c>
      <c r="AP142" s="47">
        <f t="shared" si="85"/>
        <v>16.041499999999999</v>
      </c>
      <c r="AQ142" s="47">
        <f t="shared" si="98"/>
        <v>160415</v>
      </c>
      <c r="AR142" s="47"/>
      <c r="AS142" s="47">
        <f t="shared" si="73"/>
        <v>51.332799999999999</v>
      </c>
      <c r="AT142" s="47">
        <f t="shared" si="74"/>
        <v>28.874700000000001</v>
      </c>
      <c r="AU142" s="47">
        <f t="shared" si="99"/>
        <v>288747</v>
      </c>
      <c r="AV142" s="47">
        <f t="shared" si="69"/>
        <v>22.458100000000002</v>
      </c>
      <c r="AW142" s="47">
        <f t="shared" si="100"/>
        <v>224581.00000000003</v>
      </c>
      <c r="AX142" s="47">
        <f t="shared" si="80"/>
        <v>425.3451</v>
      </c>
      <c r="AY142" s="47"/>
      <c r="AZ142" s="47"/>
      <c r="BA142" s="54">
        <v>1E-4</v>
      </c>
      <c r="BB142" s="65" t="s">
        <v>269</v>
      </c>
      <c r="BC142" s="51">
        <f t="shared" si="101"/>
        <v>674.6</v>
      </c>
      <c r="BD142" s="47"/>
      <c r="BE142" s="47">
        <f t="shared" si="102"/>
        <v>0</v>
      </c>
      <c r="BF142" s="47"/>
      <c r="BG142" s="56">
        <v>546.20000000000005</v>
      </c>
      <c r="BH142" s="47">
        <v>128.4</v>
      </c>
      <c r="BI142" s="51">
        <f t="shared" si="86"/>
        <v>868.56759999999997</v>
      </c>
      <c r="BJ142" s="51">
        <f t="shared" si="87"/>
        <v>4.3860000000000001</v>
      </c>
      <c r="BK142" s="47"/>
      <c r="BL142" s="47">
        <v>4.3860000000000001</v>
      </c>
      <c r="BM142" s="47"/>
      <c r="BN142" s="47"/>
      <c r="BO142" s="47"/>
      <c r="BP142" s="68">
        <v>71.061599999999999</v>
      </c>
      <c r="BQ142" s="47"/>
      <c r="BR142" s="47"/>
      <c r="BS142" s="47">
        <v>161.72</v>
      </c>
      <c r="BT142" s="47"/>
      <c r="BU142" s="47"/>
      <c r="BV142" s="47"/>
      <c r="BW142" s="47">
        <v>631.4</v>
      </c>
      <c r="BX142" s="47"/>
      <c r="BY142" s="47"/>
      <c r="BZ142" s="47"/>
      <c r="CA142" s="47"/>
      <c r="CB142" s="54">
        <f t="shared" si="88"/>
        <v>7158.3068000000003</v>
      </c>
    </row>
    <row r="143" spans="1:80" ht="14.25" customHeight="1">
      <c r="A143" s="47">
        <v>136</v>
      </c>
      <c r="B143" s="47" t="s">
        <v>129</v>
      </c>
      <c r="C143" s="48">
        <v>202021</v>
      </c>
      <c r="D143" s="60" t="s">
        <v>270</v>
      </c>
      <c r="E143" s="60" t="s">
        <v>150</v>
      </c>
      <c r="F143" s="50">
        <f t="shared" si="89"/>
        <v>251</v>
      </c>
      <c r="G143" s="50"/>
      <c r="H143" s="50"/>
      <c r="I143" s="50">
        <f>208+13</f>
        <v>221</v>
      </c>
      <c r="J143" s="50">
        <v>6</v>
      </c>
      <c r="K143" s="50">
        <v>24</v>
      </c>
      <c r="L143" s="50"/>
      <c r="M143" s="50"/>
      <c r="N143" s="50">
        <v>107</v>
      </c>
      <c r="O143" s="50">
        <f t="shared" si="90"/>
        <v>358</v>
      </c>
      <c r="P143" s="51">
        <f t="shared" si="83"/>
        <v>3581.6515000000009</v>
      </c>
      <c r="Q143" s="51">
        <f t="shared" si="84"/>
        <v>2901.5290000000005</v>
      </c>
      <c r="R143" s="47">
        <f t="shared" si="91"/>
        <v>822252</v>
      </c>
      <c r="S143" s="61"/>
      <c r="T143" s="61">
        <f>793578+28674</f>
        <v>822252</v>
      </c>
      <c r="U143" s="47">
        <f t="shared" si="92"/>
        <v>986.70240000000001</v>
      </c>
      <c r="V143" s="51">
        <f t="shared" si="2"/>
        <v>316.75200000000001</v>
      </c>
      <c r="W143" s="47">
        <f t="shared" si="93"/>
        <v>0</v>
      </c>
      <c r="X143" s="67">
        <v>196.87200000000001</v>
      </c>
      <c r="Y143" s="47">
        <v>119.88</v>
      </c>
      <c r="Z143" s="56"/>
      <c r="AA143" s="47"/>
      <c r="AB143" s="51">
        <f t="shared" si="63"/>
        <v>271.08</v>
      </c>
      <c r="AC143" s="47">
        <f t="shared" si="94"/>
        <v>0</v>
      </c>
      <c r="AD143" s="47"/>
      <c r="AE143" s="67">
        <f t="shared" si="82"/>
        <v>271.08</v>
      </c>
      <c r="AF143" s="47"/>
      <c r="AG143" s="64">
        <v>150600</v>
      </c>
      <c r="AH143" s="47"/>
      <c r="AI143" s="47">
        <f t="shared" si="95"/>
        <v>650.09</v>
      </c>
      <c r="AJ143" s="53">
        <f t="shared" si="81"/>
        <v>290.80200000000002</v>
      </c>
      <c r="AK143" s="53">
        <f t="shared" si="96"/>
        <v>2908020</v>
      </c>
      <c r="AL143" s="47"/>
      <c r="AM143" s="47">
        <f t="shared" si="78"/>
        <v>141.8124</v>
      </c>
      <c r="AN143" s="47">
        <f t="shared" si="79"/>
        <v>133.6284</v>
      </c>
      <c r="AO143" s="47">
        <f t="shared" si="97"/>
        <v>1336284</v>
      </c>
      <c r="AP143" s="47">
        <f t="shared" si="85"/>
        <v>8.1839999999999993</v>
      </c>
      <c r="AQ143" s="47">
        <f t="shared" si="98"/>
        <v>81840</v>
      </c>
      <c r="AR143" s="47"/>
      <c r="AS143" s="47">
        <f t="shared" si="73"/>
        <v>26.188700000000001</v>
      </c>
      <c r="AT143" s="47">
        <f t="shared" si="74"/>
        <v>14.7311</v>
      </c>
      <c r="AU143" s="47">
        <f t="shared" si="99"/>
        <v>147311</v>
      </c>
      <c r="AV143" s="47">
        <f t="shared" si="69"/>
        <v>11.4575</v>
      </c>
      <c r="AW143" s="47">
        <f t="shared" si="100"/>
        <v>114575</v>
      </c>
      <c r="AX143" s="47">
        <f t="shared" si="80"/>
        <v>218.10149999999999</v>
      </c>
      <c r="AY143" s="47"/>
      <c r="AZ143" s="47"/>
      <c r="BA143" s="54">
        <v>1E-4</v>
      </c>
      <c r="BB143" s="65" t="s">
        <v>270</v>
      </c>
      <c r="BC143" s="51">
        <f t="shared" si="101"/>
        <v>286.96499999999997</v>
      </c>
      <c r="BD143" s="47"/>
      <c r="BE143" s="47">
        <f t="shared" si="102"/>
        <v>0</v>
      </c>
      <c r="BF143" s="47"/>
      <c r="BG143" s="56">
        <v>263.96499999999997</v>
      </c>
      <c r="BH143" s="47">
        <v>23</v>
      </c>
      <c r="BI143" s="51">
        <f t="shared" si="86"/>
        <v>393.15750000000003</v>
      </c>
      <c r="BJ143" s="51">
        <f t="shared" si="87"/>
        <v>0</v>
      </c>
      <c r="BK143" s="47"/>
      <c r="BL143" s="47"/>
      <c r="BM143" s="47"/>
      <c r="BN143" s="47"/>
      <c r="BO143" s="47"/>
      <c r="BP143" s="68">
        <v>13.95</v>
      </c>
      <c r="BQ143" s="47"/>
      <c r="BR143" s="47"/>
      <c r="BS143" s="76">
        <v>87.907499999999999</v>
      </c>
      <c r="BT143" s="47"/>
      <c r="BU143" s="47"/>
      <c r="BV143" s="47"/>
      <c r="BW143" s="76">
        <v>291.3</v>
      </c>
      <c r="BX143" s="47"/>
      <c r="BY143" s="47"/>
      <c r="BZ143" s="47"/>
      <c r="CA143" s="47"/>
      <c r="CB143" s="54">
        <f t="shared" si="88"/>
        <v>3581.6515000000009</v>
      </c>
    </row>
    <row r="144" spans="1:80" ht="14.25" customHeight="1">
      <c r="A144" s="47">
        <v>137</v>
      </c>
      <c r="B144" s="47" t="s">
        <v>129</v>
      </c>
      <c r="C144" s="48">
        <v>202022</v>
      </c>
      <c r="D144" s="60" t="s">
        <v>271</v>
      </c>
      <c r="E144" s="60" t="s">
        <v>150</v>
      </c>
      <c r="F144" s="50">
        <f t="shared" si="89"/>
        <v>414</v>
      </c>
      <c r="G144" s="50"/>
      <c r="H144" s="50"/>
      <c r="I144" s="50">
        <f>354+27</f>
        <v>381</v>
      </c>
      <c r="J144" s="50">
        <v>9</v>
      </c>
      <c r="K144" s="50">
        <v>24</v>
      </c>
      <c r="L144" s="50"/>
      <c r="M144" s="50"/>
      <c r="N144" s="50">
        <v>206</v>
      </c>
      <c r="O144" s="50">
        <f t="shared" si="90"/>
        <v>620</v>
      </c>
      <c r="P144" s="51">
        <f t="shared" si="83"/>
        <v>6039.8778999999995</v>
      </c>
      <c r="Q144" s="51">
        <f t="shared" si="84"/>
        <v>4867.1929999999993</v>
      </c>
      <c r="R144" s="47">
        <f t="shared" si="91"/>
        <v>1386991</v>
      </c>
      <c r="S144" s="61"/>
      <c r="T144" s="61">
        <v>1386991</v>
      </c>
      <c r="U144" s="47">
        <f t="shared" si="92"/>
        <v>1664.3892000000001</v>
      </c>
      <c r="V144" s="51">
        <f t="shared" si="2"/>
        <v>552.64800000000002</v>
      </c>
      <c r="W144" s="47">
        <f t="shared" si="93"/>
        <v>0</v>
      </c>
      <c r="X144" s="67">
        <v>328.608</v>
      </c>
      <c r="Y144" s="47">
        <v>224.04</v>
      </c>
      <c r="Z144" s="56"/>
      <c r="AA144" s="47"/>
      <c r="AB144" s="51">
        <f t="shared" si="63"/>
        <v>447.12</v>
      </c>
      <c r="AC144" s="47">
        <f t="shared" si="94"/>
        <v>0</v>
      </c>
      <c r="AD144" s="47"/>
      <c r="AE144" s="67">
        <f t="shared" si="82"/>
        <v>447.12</v>
      </c>
      <c r="AF144" s="47"/>
      <c r="AG144" s="64">
        <v>248400</v>
      </c>
      <c r="AH144" s="47"/>
      <c r="AI144" s="47">
        <f t="shared" si="95"/>
        <v>1072.26</v>
      </c>
      <c r="AJ144" s="53">
        <f t="shared" si="81"/>
        <v>485.55669999999998</v>
      </c>
      <c r="AK144" s="53">
        <f t="shared" si="96"/>
        <v>4855567</v>
      </c>
      <c r="AL144" s="47"/>
      <c r="AM144" s="47">
        <f t="shared" si="78"/>
        <v>237.26519999999999</v>
      </c>
      <c r="AN144" s="47">
        <f t="shared" si="79"/>
        <v>223.58189999999999</v>
      </c>
      <c r="AO144" s="47">
        <f t="shared" si="97"/>
        <v>2235819</v>
      </c>
      <c r="AP144" s="47">
        <f t="shared" si="85"/>
        <v>13.683199999999999</v>
      </c>
      <c r="AQ144" s="47">
        <f t="shared" si="98"/>
        <v>136832</v>
      </c>
      <c r="AR144" s="47"/>
      <c r="AS144" s="47">
        <f t="shared" si="73"/>
        <v>43.7864</v>
      </c>
      <c r="AT144" s="47">
        <f t="shared" si="74"/>
        <v>24.629799999999999</v>
      </c>
      <c r="AU144" s="47">
        <f t="shared" si="99"/>
        <v>246298</v>
      </c>
      <c r="AV144" s="47">
        <f t="shared" si="69"/>
        <v>19.156500000000001</v>
      </c>
      <c r="AW144" s="47">
        <f t="shared" si="100"/>
        <v>191565</v>
      </c>
      <c r="AX144" s="47">
        <f t="shared" si="80"/>
        <v>364.16750000000002</v>
      </c>
      <c r="AY144" s="47"/>
      <c r="AZ144" s="47"/>
      <c r="BA144" s="54">
        <v>1E-4</v>
      </c>
      <c r="BB144" s="65" t="s">
        <v>271</v>
      </c>
      <c r="BC144" s="51">
        <f t="shared" si="101"/>
        <v>521.05500000000006</v>
      </c>
      <c r="BD144" s="47"/>
      <c r="BE144" s="47">
        <f t="shared" si="102"/>
        <v>0</v>
      </c>
      <c r="BF144" s="47"/>
      <c r="BG144" s="56">
        <v>431.05500000000001</v>
      </c>
      <c r="BH144" s="47">
        <v>90</v>
      </c>
      <c r="BI144" s="51">
        <f t="shared" si="86"/>
        <v>651.62990000000002</v>
      </c>
      <c r="BJ144" s="51">
        <f t="shared" si="87"/>
        <v>0</v>
      </c>
      <c r="BK144" s="47"/>
      <c r="BL144" s="47"/>
      <c r="BM144" s="47"/>
      <c r="BN144" s="47"/>
      <c r="BO144" s="47"/>
      <c r="BP144" s="68">
        <v>29.342400000000001</v>
      </c>
      <c r="BQ144" s="47"/>
      <c r="BR144" s="47"/>
      <c r="BS144" s="76">
        <v>125.9875</v>
      </c>
      <c r="BT144" s="47"/>
      <c r="BU144" s="47"/>
      <c r="BV144" s="47"/>
      <c r="BW144" s="76">
        <v>496.3</v>
      </c>
      <c r="BX144" s="47"/>
      <c r="BY144" s="47"/>
      <c r="BZ144" s="47"/>
      <c r="CA144" s="47"/>
      <c r="CB144" s="54">
        <f t="shared" si="88"/>
        <v>6039.8778999999995</v>
      </c>
    </row>
    <row r="145" spans="1:80" ht="14.25" customHeight="1">
      <c r="A145" s="47">
        <v>138</v>
      </c>
      <c r="B145" s="47" t="s">
        <v>129</v>
      </c>
      <c r="C145" s="48">
        <v>202023</v>
      </c>
      <c r="D145" s="60" t="s">
        <v>272</v>
      </c>
      <c r="E145" s="60" t="s">
        <v>150</v>
      </c>
      <c r="F145" s="50">
        <f t="shared" si="89"/>
        <v>210</v>
      </c>
      <c r="G145" s="50"/>
      <c r="H145" s="50"/>
      <c r="I145" s="50">
        <f>185+16</f>
        <v>201</v>
      </c>
      <c r="J145" s="50">
        <v>2</v>
      </c>
      <c r="K145" s="50">
        <v>7</v>
      </c>
      <c r="L145" s="50"/>
      <c r="M145" s="50"/>
      <c r="N145" s="50">
        <v>92</v>
      </c>
      <c r="O145" s="50">
        <f t="shared" si="90"/>
        <v>302</v>
      </c>
      <c r="P145" s="51">
        <f t="shared" si="83"/>
        <v>3057.0077999999994</v>
      </c>
      <c r="Q145" s="51">
        <f t="shared" si="84"/>
        <v>2485.5212999999994</v>
      </c>
      <c r="R145" s="47">
        <f t="shared" si="91"/>
        <v>715063</v>
      </c>
      <c r="S145" s="61"/>
      <c r="T145" s="61">
        <f>684933+30130</f>
        <v>715063</v>
      </c>
      <c r="U145" s="47">
        <f t="shared" si="92"/>
        <v>858.07560000000001</v>
      </c>
      <c r="V145" s="51">
        <f t="shared" si="2"/>
        <v>277.99199999999996</v>
      </c>
      <c r="W145" s="47">
        <f t="shared" si="93"/>
        <v>0</v>
      </c>
      <c r="X145" s="67">
        <v>169.27199999999999</v>
      </c>
      <c r="Y145" s="67">
        <v>108.72</v>
      </c>
      <c r="Z145" s="47"/>
      <c r="AA145" s="47"/>
      <c r="AB145" s="51">
        <f t="shared" si="63"/>
        <v>226.8</v>
      </c>
      <c r="AC145" s="47">
        <f t="shared" si="94"/>
        <v>0</v>
      </c>
      <c r="AD145" s="47"/>
      <c r="AE145" s="67">
        <f t="shared" si="82"/>
        <v>226.8</v>
      </c>
      <c r="AF145" s="47"/>
      <c r="AG145" s="64">
        <v>126000</v>
      </c>
      <c r="AH145" s="47"/>
      <c r="AI145" s="47">
        <f t="shared" si="95"/>
        <v>543.9</v>
      </c>
      <c r="AJ145" s="53">
        <f t="shared" si="81"/>
        <v>248.50810000000001</v>
      </c>
      <c r="AK145" s="53">
        <f t="shared" si="96"/>
        <v>2485081</v>
      </c>
      <c r="AL145" s="47"/>
      <c r="AM145" s="47">
        <f t="shared" si="78"/>
        <v>121.4329</v>
      </c>
      <c r="AN145" s="47">
        <f t="shared" si="79"/>
        <v>114.423</v>
      </c>
      <c r="AO145" s="47">
        <f t="shared" si="97"/>
        <v>1144230</v>
      </c>
      <c r="AP145" s="47">
        <f t="shared" si="85"/>
        <v>7.0099</v>
      </c>
      <c r="AQ145" s="47">
        <f t="shared" si="98"/>
        <v>70099</v>
      </c>
      <c r="AR145" s="47"/>
      <c r="AS145" s="47">
        <f t="shared" si="73"/>
        <v>22.4316</v>
      </c>
      <c r="AT145" s="47">
        <f t="shared" si="74"/>
        <v>12.617800000000001</v>
      </c>
      <c r="AU145" s="47">
        <f t="shared" si="99"/>
        <v>126178.00000000001</v>
      </c>
      <c r="AV145" s="47">
        <f t="shared" si="69"/>
        <v>9.8138000000000005</v>
      </c>
      <c r="AW145" s="47">
        <f t="shared" si="100"/>
        <v>98138</v>
      </c>
      <c r="AX145" s="47">
        <f t="shared" si="80"/>
        <v>186.3811</v>
      </c>
      <c r="AY145" s="47"/>
      <c r="AZ145" s="47"/>
      <c r="BA145" s="54">
        <v>1E-4</v>
      </c>
      <c r="BB145" s="65" t="s">
        <v>272</v>
      </c>
      <c r="BC145" s="51">
        <f t="shared" si="101"/>
        <v>236.86</v>
      </c>
      <c r="BD145" s="47"/>
      <c r="BE145" s="47">
        <f t="shared" si="102"/>
        <v>0</v>
      </c>
      <c r="BF145" s="47"/>
      <c r="BG145" s="56">
        <v>236.86</v>
      </c>
      <c r="BH145" s="47"/>
      <c r="BI145" s="51">
        <f t="shared" si="86"/>
        <v>334.62650000000002</v>
      </c>
      <c r="BJ145" s="51">
        <f t="shared" si="87"/>
        <v>0</v>
      </c>
      <c r="BK145" s="47"/>
      <c r="BL145" s="47"/>
      <c r="BM145" s="47"/>
      <c r="BN145" s="47"/>
      <c r="BO145" s="47"/>
      <c r="BP145" s="68">
        <v>8.0640000000000001</v>
      </c>
      <c r="BQ145" s="47"/>
      <c r="BR145" s="47"/>
      <c r="BS145" s="76">
        <v>55.5625</v>
      </c>
      <c r="BT145" s="47"/>
      <c r="BU145" s="47"/>
      <c r="BV145" s="47"/>
      <c r="BW145" s="76">
        <v>271</v>
      </c>
      <c r="BX145" s="47"/>
      <c r="BY145" s="47"/>
      <c r="BZ145" s="47"/>
      <c r="CA145" s="47"/>
      <c r="CB145" s="54">
        <f t="shared" si="88"/>
        <v>3057.0077999999994</v>
      </c>
    </row>
    <row r="146" spans="1:80" ht="14.25" customHeight="1">
      <c r="A146" s="47">
        <v>139</v>
      </c>
      <c r="B146" s="47" t="s">
        <v>129</v>
      </c>
      <c r="C146" s="48">
        <v>202024</v>
      </c>
      <c r="D146" s="71" t="s">
        <v>273</v>
      </c>
      <c r="E146" s="60" t="s">
        <v>150</v>
      </c>
      <c r="F146" s="50">
        <f t="shared" si="89"/>
        <v>426</v>
      </c>
      <c r="G146" s="50"/>
      <c r="H146" s="50"/>
      <c r="I146" s="50">
        <f>363+25</f>
        <v>388</v>
      </c>
      <c r="J146" s="50">
        <v>6</v>
      </c>
      <c r="K146" s="50">
        <v>32</v>
      </c>
      <c r="L146" s="50"/>
      <c r="M146" s="50"/>
      <c r="N146" s="50">
        <v>171</v>
      </c>
      <c r="O146" s="50">
        <f t="shared" si="90"/>
        <v>597</v>
      </c>
      <c r="P146" s="51">
        <f t="shared" si="83"/>
        <v>6063.4456999999993</v>
      </c>
      <c r="Q146" s="51">
        <f t="shared" si="84"/>
        <v>4942.8596999999991</v>
      </c>
      <c r="R146" s="47">
        <f t="shared" si="91"/>
        <v>1394953</v>
      </c>
      <c r="S146" s="61"/>
      <c r="T146" s="61">
        <f>1342194+52759</f>
        <v>1394953</v>
      </c>
      <c r="U146" s="47">
        <f t="shared" si="92"/>
        <v>1673.9436000000001</v>
      </c>
      <c r="V146" s="51">
        <f t="shared" si="2"/>
        <v>556.99199999999996</v>
      </c>
      <c r="W146" s="47">
        <f t="shared" si="93"/>
        <v>0</v>
      </c>
      <c r="X146" s="67">
        <v>335.23200000000003</v>
      </c>
      <c r="Y146" s="67">
        <v>221.76</v>
      </c>
      <c r="Z146" s="47"/>
      <c r="AA146" s="47"/>
      <c r="AB146" s="51">
        <f t="shared" si="63"/>
        <v>460.08</v>
      </c>
      <c r="AC146" s="47">
        <f t="shared" si="94"/>
        <v>0</v>
      </c>
      <c r="AD146" s="47"/>
      <c r="AE146" s="67">
        <f t="shared" si="82"/>
        <v>460.08</v>
      </c>
      <c r="AF146" s="47"/>
      <c r="AG146" s="64">
        <v>255600</v>
      </c>
      <c r="AH146" s="47"/>
      <c r="AI146" s="47">
        <f t="shared" si="95"/>
        <v>1103.3399999999999</v>
      </c>
      <c r="AJ146" s="53">
        <f t="shared" si="81"/>
        <v>493.44060000000002</v>
      </c>
      <c r="AK146" s="53">
        <f t="shared" si="96"/>
        <v>4934406</v>
      </c>
      <c r="AL146" s="47"/>
      <c r="AM146" s="47">
        <f t="shared" si="78"/>
        <v>240.54660000000001</v>
      </c>
      <c r="AN146" s="47">
        <f t="shared" si="79"/>
        <v>226.6602</v>
      </c>
      <c r="AO146" s="47">
        <f t="shared" si="97"/>
        <v>2266602</v>
      </c>
      <c r="AP146" s="47">
        <f t="shared" si="85"/>
        <v>13.8864</v>
      </c>
      <c r="AQ146" s="47">
        <f t="shared" si="98"/>
        <v>138864</v>
      </c>
      <c r="AR146" s="47"/>
      <c r="AS146" s="47">
        <f t="shared" si="73"/>
        <v>44.436500000000002</v>
      </c>
      <c r="AT146" s="47">
        <f t="shared" si="74"/>
        <v>24.9956</v>
      </c>
      <c r="AU146" s="47">
        <f t="shared" si="99"/>
        <v>249956</v>
      </c>
      <c r="AV146" s="47">
        <f t="shared" si="69"/>
        <v>19.440999999999999</v>
      </c>
      <c r="AW146" s="47">
        <f t="shared" si="100"/>
        <v>194410</v>
      </c>
      <c r="AX146" s="47">
        <f t="shared" si="80"/>
        <v>370.0804</v>
      </c>
      <c r="AY146" s="47"/>
      <c r="AZ146" s="47"/>
      <c r="BA146" s="54">
        <v>1E-4</v>
      </c>
      <c r="BB146" s="74" t="s">
        <v>273</v>
      </c>
      <c r="BC146" s="51">
        <f t="shared" si="101"/>
        <v>499.84500000000003</v>
      </c>
      <c r="BD146" s="47"/>
      <c r="BE146" s="47">
        <f t="shared" si="102"/>
        <v>0</v>
      </c>
      <c r="BF146" s="47"/>
      <c r="BG146" s="56">
        <v>429.84500000000003</v>
      </c>
      <c r="BH146" s="47">
        <v>70</v>
      </c>
      <c r="BI146" s="51">
        <f t="shared" si="86"/>
        <v>620.74099999999999</v>
      </c>
      <c r="BJ146" s="51">
        <f t="shared" si="87"/>
        <v>0</v>
      </c>
      <c r="BK146" s="47"/>
      <c r="BL146" s="47"/>
      <c r="BM146" s="47"/>
      <c r="BN146" s="47"/>
      <c r="BO146" s="47"/>
      <c r="BP146" s="68">
        <v>27.216000000000001</v>
      </c>
      <c r="BQ146" s="47"/>
      <c r="BR146" s="47"/>
      <c r="BS146" s="76">
        <v>105.825</v>
      </c>
      <c r="BT146" s="47"/>
      <c r="BU146" s="47"/>
      <c r="BV146" s="47"/>
      <c r="BW146" s="76">
        <v>487.7</v>
      </c>
      <c r="BX146" s="47"/>
      <c r="BY146" s="47"/>
      <c r="BZ146" s="47"/>
      <c r="CA146" s="47"/>
      <c r="CB146" s="54">
        <f t="shared" si="88"/>
        <v>6063.4456999999993</v>
      </c>
    </row>
    <row r="147" spans="1:80" ht="14.25" customHeight="1">
      <c r="A147" s="47">
        <v>140</v>
      </c>
      <c r="B147" s="47" t="s">
        <v>129</v>
      </c>
      <c r="C147" s="48">
        <v>202025</v>
      </c>
      <c r="D147" s="60" t="s">
        <v>274</v>
      </c>
      <c r="E147" s="60" t="s">
        <v>150</v>
      </c>
      <c r="F147" s="50">
        <f t="shared" si="89"/>
        <v>256</v>
      </c>
      <c r="G147" s="50"/>
      <c r="H147" s="50"/>
      <c r="I147" s="50">
        <f>222+17</f>
        <v>239</v>
      </c>
      <c r="J147" s="50">
        <v>6</v>
      </c>
      <c r="K147" s="50">
        <v>11</v>
      </c>
      <c r="L147" s="50"/>
      <c r="M147" s="50"/>
      <c r="N147" s="50">
        <v>197</v>
      </c>
      <c r="O147" s="50">
        <f t="shared" si="90"/>
        <v>453</v>
      </c>
      <c r="P147" s="51">
        <f t="shared" si="83"/>
        <v>3762.3170999999998</v>
      </c>
      <c r="Q147" s="51">
        <f t="shared" si="84"/>
        <v>3115.6915999999997</v>
      </c>
      <c r="R147" s="47">
        <f t="shared" si="91"/>
        <v>927590</v>
      </c>
      <c r="S147" s="61"/>
      <c r="T147" s="61">
        <v>927590</v>
      </c>
      <c r="U147" s="47">
        <f t="shared" si="92"/>
        <v>1113.1079999999999</v>
      </c>
      <c r="V147" s="51">
        <f t="shared" si="2"/>
        <v>331.34399999999999</v>
      </c>
      <c r="W147" s="47">
        <f t="shared" si="93"/>
        <v>0</v>
      </c>
      <c r="X147" s="67">
        <v>209.06399999999999</v>
      </c>
      <c r="Y147" s="67">
        <v>122.28</v>
      </c>
      <c r="Z147" s="47"/>
      <c r="AA147" s="47"/>
      <c r="AB147" s="51">
        <f t="shared" si="63"/>
        <v>276.48</v>
      </c>
      <c r="AC147" s="47">
        <f t="shared" si="94"/>
        <v>0</v>
      </c>
      <c r="AD147" s="47"/>
      <c r="AE147" s="67">
        <f t="shared" si="82"/>
        <v>276.48</v>
      </c>
      <c r="AF147" s="47"/>
      <c r="AG147" s="64">
        <v>153600</v>
      </c>
      <c r="AH147" s="47"/>
      <c r="AI147" s="47">
        <f t="shared" si="95"/>
        <v>663.04</v>
      </c>
      <c r="AJ147" s="53">
        <f t="shared" si="81"/>
        <v>313.67489999999998</v>
      </c>
      <c r="AK147" s="53">
        <f t="shared" si="96"/>
        <v>3136749</v>
      </c>
      <c r="AL147" s="47"/>
      <c r="AM147" s="47">
        <f t="shared" si="78"/>
        <v>154.37010000000001</v>
      </c>
      <c r="AN147" s="47">
        <f t="shared" si="79"/>
        <v>145.48929999999999</v>
      </c>
      <c r="AO147" s="47">
        <f t="shared" si="97"/>
        <v>1454892.9999999998</v>
      </c>
      <c r="AP147" s="47">
        <f t="shared" si="85"/>
        <v>8.8806999999999992</v>
      </c>
      <c r="AQ147" s="47">
        <f t="shared" si="98"/>
        <v>88806.999999999985</v>
      </c>
      <c r="AR147" s="47"/>
      <c r="AS147" s="47">
        <f t="shared" si="73"/>
        <v>28.418399999999998</v>
      </c>
      <c r="AT147" s="47">
        <f t="shared" si="74"/>
        <v>15.985300000000001</v>
      </c>
      <c r="AU147" s="47">
        <f t="shared" si="99"/>
        <v>159853</v>
      </c>
      <c r="AV147" s="47">
        <f t="shared" si="69"/>
        <v>12.433</v>
      </c>
      <c r="AW147" s="47">
        <f t="shared" si="100"/>
        <v>124330</v>
      </c>
      <c r="AX147" s="47">
        <f t="shared" si="80"/>
        <v>235.25620000000001</v>
      </c>
      <c r="AY147" s="47"/>
      <c r="AZ147" s="47"/>
      <c r="BA147" s="54">
        <v>1E-4</v>
      </c>
      <c r="BB147" s="65" t="s">
        <v>274</v>
      </c>
      <c r="BC147" s="51">
        <f t="shared" si="101"/>
        <v>283.89999999999998</v>
      </c>
      <c r="BD147" s="47"/>
      <c r="BE147" s="47">
        <f t="shared" si="102"/>
        <v>0</v>
      </c>
      <c r="BF147" s="47"/>
      <c r="BG147" s="56">
        <v>233.9</v>
      </c>
      <c r="BH147" s="47">
        <v>50</v>
      </c>
      <c r="BI147" s="51">
        <f t="shared" si="86"/>
        <v>362.72550000000001</v>
      </c>
      <c r="BJ147" s="51">
        <f t="shared" si="87"/>
        <v>0</v>
      </c>
      <c r="BK147" s="47"/>
      <c r="BL147" s="47"/>
      <c r="BM147" s="47"/>
      <c r="BN147" s="47"/>
      <c r="BO147" s="47"/>
      <c r="BP147" s="68">
        <v>36.287999999999997</v>
      </c>
      <c r="BQ147" s="47"/>
      <c r="BR147" s="47"/>
      <c r="BS147" s="76">
        <v>66.237499999999997</v>
      </c>
      <c r="BT147" s="47"/>
      <c r="BU147" s="47"/>
      <c r="BV147" s="47"/>
      <c r="BW147" s="76">
        <v>260.2</v>
      </c>
      <c r="BX147" s="47"/>
      <c r="BY147" s="47"/>
      <c r="BZ147" s="47"/>
      <c r="CA147" s="47"/>
      <c r="CB147" s="54">
        <f t="shared" si="88"/>
        <v>3762.3170999999998</v>
      </c>
    </row>
    <row r="148" spans="1:80" ht="14.25" customHeight="1">
      <c r="A148" s="47">
        <v>141</v>
      </c>
      <c r="B148" s="47" t="s">
        <v>129</v>
      </c>
      <c r="C148" s="48">
        <v>202026</v>
      </c>
      <c r="D148" s="60" t="s">
        <v>275</v>
      </c>
      <c r="E148" s="60" t="s">
        <v>150</v>
      </c>
      <c r="F148" s="50">
        <f t="shared" si="89"/>
        <v>381</v>
      </c>
      <c r="G148" s="50"/>
      <c r="H148" s="50"/>
      <c r="I148" s="50">
        <v>369</v>
      </c>
      <c r="J148" s="50">
        <v>10</v>
      </c>
      <c r="K148" s="50">
        <v>2</v>
      </c>
      <c r="L148" s="50"/>
      <c r="M148" s="50"/>
      <c r="N148" s="50">
        <f>196+2</f>
        <v>198</v>
      </c>
      <c r="O148" s="50">
        <f t="shared" si="90"/>
        <v>579</v>
      </c>
      <c r="P148" s="51">
        <f t="shared" si="83"/>
        <v>6114.1931000000013</v>
      </c>
      <c r="Q148" s="51">
        <f t="shared" si="84"/>
        <v>4939.5076000000008</v>
      </c>
      <c r="R148" s="47">
        <f t="shared" si="91"/>
        <v>1561288</v>
      </c>
      <c r="S148" s="61"/>
      <c r="T148" s="61">
        <v>1561288</v>
      </c>
      <c r="U148" s="47">
        <f t="shared" si="92"/>
        <v>1873.5455999999999</v>
      </c>
      <c r="V148" s="51">
        <f t="shared" si="2"/>
        <v>496.75200000000001</v>
      </c>
      <c r="W148" s="47">
        <f t="shared" si="93"/>
        <v>0</v>
      </c>
      <c r="X148" s="67">
        <v>337.75200000000001</v>
      </c>
      <c r="Y148" s="67">
        <v>159</v>
      </c>
      <c r="Z148" s="47"/>
      <c r="AA148" s="47"/>
      <c r="AB148" s="51">
        <f t="shared" si="63"/>
        <v>411.48</v>
      </c>
      <c r="AC148" s="47">
        <f t="shared" si="94"/>
        <v>0</v>
      </c>
      <c r="AD148" s="47"/>
      <c r="AE148" s="67">
        <f t="shared" si="82"/>
        <v>411.48</v>
      </c>
      <c r="AF148" s="47"/>
      <c r="AG148" s="64">
        <v>228600</v>
      </c>
      <c r="AH148" s="47"/>
      <c r="AI148" s="47">
        <f t="shared" si="95"/>
        <v>986.79</v>
      </c>
      <c r="AJ148" s="53">
        <f t="shared" si="81"/>
        <v>501.54489999999998</v>
      </c>
      <c r="AK148" s="53">
        <f t="shared" si="96"/>
        <v>5015449</v>
      </c>
      <c r="AL148" s="47"/>
      <c r="AM148" s="47">
        <f t="shared" si="78"/>
        <v>247.471</v>
      </c>
      <c r="AN148" s="47">
        <f t="shared" si="79"/>
        <v>233.16929999999999</v>
      </c>
      <c r="AO148" s="47">
        <f t="shared" si="97"/>
        <v>2331693</v>
      </c>
      <c r="AP148" s="47">
        <f t="shared" si="85"/>
        <v>14.3017</v>
      </c>
      <c r="AQ148" s="47">
        <f t="shared" si="98"/>
        <v>143017</v>
      </c>
      <c r="AR148" s="47"/>
      <c r="AS148" s="47">
        <f t="shared" si="73"/>
        <v>45.7654</v>
      </c>
      <c r="AT148" s="47">
        <f t="shared" si="74"/>
        <v>25.742999999999999</v>
      </c>
      <c r="AU148" s="47">
        <f t="shared" si="99"/>
        <v>257430</v>
      </c>
      <c r="AV148" s="47">
        <f t="shared" si="69"/>
        <v>20.022300000000001</v>
      </c>
      <c r="AW148" s="47">
        <f t="shared" si="100"/>
        <v>200223</v>
      </c>
      <c r="AX148" s="47">
        <f t="shared" si="80"/>
        <v>376.15870000000001</v>
      </c>
      <c r="AY148" s="47"/>
      <c r="AZ148" s="47"/>
      <c r="BA148" s="54">
        <v>1E-4</v>
      </c>
      <c r="BB148" s="65" t="s">
        <v>275</v>
      </c>
      <c r="BC148" s="51">
        <f t="shared" si="101"/>
        <v>535.67499999999995</v>
      </c>
      <c r="BD148" s="47"/>
      <c r="BE148" s="47">
        <f t="shared" si="102"/>
        <v>0</v>
      </c>
      <c r="BF148" s="47"/>
      <c r="BG148" s="56">
        <v>436.67500000000001</v>
      </c>
      <c r="BH148" s="47">
        <v>99</v>
      </c>
      <c r="BI148" s="51">
        <f t="shared" si="86"/>
        <v>639.01049999999998</v>
      </c>
      <c r="BJ148" s="51">
        <f t="shared" si="87"/>
        <v>0</v>
      </c>
      <c r="BK148" s="68"/>
      <c r="BL148" s="68"/>
      <c r="BM148" s="47"/>
      <c r="BN148" s="68"/>
      <c r="BO148" s="47"/>
      <c r="BP148" s="68">
        <v>26.748000000000001</v>
      </c>
      <c r="BQ148" s="47"/>
      <c r="BR148" s="47"/>
      <c r="BS148" s="76">
        <v>103.7625</v>
      </c>
      <c r="BT148" s="47"/>
      <c r="BU148" s="47"/>
      <c r="BV148" s="47"/>
      <c r="BW148" s="76">
        <v>508.5</v>
      </c>
      <c r="BX148" s="47"/>
      <c r="BY148" s="47"/>
      <c r="BZ148" s="47"/>
      <c r="CA148" s="47"/>
      <c r="CB148" s="54">
        <f t="shared" si="88"/>
        <v>6114.1931000000013</v>
      </c>
    </row>
    <row r="149" spans="1:80" ht="14.25" customHeight="1">
      <c r="A149" s="47">
        <v>142</v>
      </c>
      <c r="B149" s="47" t="s">
        <v>129</v>
      </c>
      <c r="C149" s="48">
        <v>202027</v>
      </c>
      <c r="D149" s="60" t="s">
        <v>276</v>
      </c>
      <c r="E149" s="60" t="s">
        <v>150</v>
      </c>
      <c r="F149" s="50">
        <f t="shared" si="89"/>
        <v>3</v>
      </c>
      <c r="G149" s="50"/>
      <c r="H149" s="50"/>
      <c r="I149" s="50">
        <v>2</v>
      </c>
      <c r="J149" s="50">
        <v>1</v>
      </c>
      <c r="K149" s="50"/>
      <c r="L149" s="50"/>
      <c r="M149" s="50"/>
      <c r="N149" s="50"/>
      <c r="O149" s="50">
        <f t="shared" si="90"/>
        <v>3</v>
      </c>
      <c r="P149" s="51">
        <f t="shared" si="83"/>
        <v>93.400400000000005</v>
      </c>
      <c r="Q149" s="51">
        <f t="shared" si="84"/>
        <v>32.520400000000002</v>
      </c>
      <c r="R149" s="47">
        <f t="shared" si="91"/>
        <v>9812</v>
      </c>
      <c r="S149" s="58"/>
      <c r="T149" s="58">
        <v>9812</v>
      </c>
      <c r="U149" s="47">
        <f t="shared" si="92"/>
        <v>11.7744</v>
      </c>
      <c r="V149" s="51">
        <f t="shared" si="2"/>
        <v>0</v>
      </c>
      <c r="W149" s="47">
        <f t="shared" si="93"/>
        <v>0</v>
      </c>
      <c r="X149" s="47"/>
      <c r="Y149" s="47"/>
      <c r="Z149" s="47"/>
      <c r="AA149" s="47"/>
      <c r="AB149" s="51">
        <f t="shared" si="63"/>
        <v>4.32</v>
      </c>
      <c r="AC149" s="47">
        <f t="shared" si="94"/>
        <v>0</v>
      </c>
      <c r="AD149" s="47"/>
      <c r="AE149" s="47"/>
      <c r="AF149" s="47">
        <f>ROUND(AG149*12/10000,4)</f>
        <v>4.32</v>
      </c>
      <c r="AG149" s="47">
        <v>3600</v>
      </c>
      <c r="AH149" s="47"/>
      <c r="AI149" s="47">
        <f t="shared" si="95"/>
        <v>7.77</v>
      </c>
      <c r="AJ149" s="53">
        <f t="shared" ref="AJ149:AJ162" si="103">ROUND((U149+W149+AC149+AE149+AF149+AI149)*0.16,4)</f>
        <v>3.8182999999999998</v>
      </c>
      <c r="AK149" s="53">
        <f t="shared" si="96"/>
        <v>38183</v>
      </c>
      <c r="AL149" s="47"/>
      <c r="AM149" s="47">
        <f t="shared" ref="AM149:AM162" si="104">ROUND(((U149+W149+AI149)*0.085+N149*0.0075),4)</f>
        <v>1.6613</v>
      </c>
      <c r="AN149" s="47">
        <f t="shared" ref="AN149:AN159" si="105">ROUND(((U149+W149+AI149)*0.08+N149*0.0075),4)</f>
        <v>1.5636000000000001</v>
      </c>
      <c r="AO149" s="47">
        <f t="shared" si="97"/>
        <v>15636.000000000002</v>
      </c>
      <c r="AP149" s="47">
        <f t="shared" si="85"/>
        <v>9.7699999999999995E-2</v>
      </c>
      <c r="AQ149" s="47">
        <f t="shared" si="98"/>
        <v>977</v>
      </c>
      <c r="AR149" s="47"/>
      <c r="AS149" s="47">
        <f t="shared" si="73"/>
        <v>0.31269999999999998</v>
      </c>
      <c r="AT149" s="47">
        <f t="shared" si="74"/>
        <v>0.1759</v>
      </c>
      <c r="AU149" s="47">
        <f t="shared" si="99"/>
        <v>1759</v>
      </c>
      <c r="AV149" s="47">
        <f t="shared" si="69"/>
        <v>0.1368</v>
      </c>
      <c r="AW149" s="47">
        <f t="shared" si="100"/>
        <v>1368</v>
      </c>
      <c r="AX149" s="47">
        <f t="shared" ref="AX149:AX162" si="106">ROUND((U149+W149+AC149+AE149+AF149+AI149)*0.12,4)</f>
        <v>2.8637000000000001</v>
      </c>
      <c r="AY149" s="47"/>
      <c r="AZ149" s="47"/>
      <c r="BA149" s="54">
        <v>1E-4</v>
      </c>
      <c r="BB149" s="65" t="s">
        <v>276</v>
      </c>
      <c r="BC149" s="51">
        <f t="shared" si="101"/>
        <v>60.88</v>
      </c>
      <c r="BD149" s="47">
        <f t="shared" ref="BD149:BD159" si="107">1.2*(G149+H149)+0.96*(I149+J149)</f>
        <v>2.88</v>
      </c>
      <c r="BE149" s="47">
        <f t="shared" si="102"/>
        <v>0</v>
      </c>
      <c r="BF149" s="47"/>
      <c r="BG149" s="56">
        <v>58</v>
      </c>
      <c r="BH149" s="47"/>
      <c r="BI149" s="51">
        <f t="shared" si="86"/>
        <v>0</v>
      </c>
      <c r="BJ149" s="51">
        <f t="shared" si="87"/>
        <v>0</v>
      </c>
      <c r="BK149" s="47"/>
      <c r="BL149" s="47"/>
      <c r="BM149" s="47"/>
      <c r="BN149" s="47"/>
      <c r="BO149" s="47"/>
      <c r="BP149" s="47"/>
      <c r="BQ149" s="47"/>
      <c r="BR149" s="47"/>
      <c r="BS149" s="53"/>
      <c r="BT149" s="47"/>
      <c r="BU149" s="47"/>
      <c r="BV149" s="47"/>
      <c r="BW149" s="68"/>
      <c r="BX149" s="47"/>
      <c r="BY149" s="47"/>
      <c r="BZ149" s="47"/>
      <c r="CA149" s="47"/>
      <c r="CB149" s="54">
        <f t="shared" si="88"/>
        <v>93.400400000000005</v>
      </c>
    </row>
    <row r="150" spans="1:80" ht="14.25" customHeight="1">
      <c r="A150" s="47">
        <v>143</v>
      </c>
      <c r="B150" s="47" t="s">
        <v>129</v>
      </c>
      <c r="C150" s="48">
        <v>205001</v>
      </c>
      <c r="D150" s="49" t="s">
        <v>277</v>
      </c>
      <c r="E150" s="49" t="s">
        <v>143</v>
      </c>
      <c r="F150" s="50">
        <f t="shared" si="89"/>
        <v>6</v>
      </c>
      <c r="G150" s="50">
        <v>6</v>
      </c>
      <c r="H150" s="50"/>
      <c r="I150" s="50"/>
      <c r="J150" s="50"/>
      <c r="K150" s="50"/>
      <c r="L150" s="50"/>
      <c r="M150" s="50"/>
      <c r="N150" s="50"/>
      <c r="O150" s="50">
        <f t="shared" si="90"/>
        <v>6</v>
      </c>
      <c r="P150" s="51">
        <f t="shared" si="83"/>
        <v>98.079800000000006</v>
      </c>
      <c r="Q150" s="51">
        <f t="shared" si="84"/>
        <v>74.911799999999999</v>
      </c>
      <c r="R150" s="47">
        <f t="shared" si="91"/>
        <v>23933</v>
      </c>
      <c r="S150" s="58">
        <v>23933</v>
      </c>
      <c r="T150" s="58"/>
      <c r="U150" s="47">
        <f t="shared" si="92"/>
        <v>28.7196</v>
      </c>
      <c r="V150" s="51">
        <f t="shared" si="2"/>
        <v>13.5</v>
      </c>
      <c r="W150" s="47">
        <f t="shared" si="93"/>
        <v>13.5</v>
      </c>
      <c r="X150" s="47"/>
      <c r="Y150" s="47"/>
      <c r="Z150" s="47"/>
      <c r="AA150" s="47"/>
      <c r="AB150" s="51">
        <f t="shared" si="63"/>
        <v>13.303699999999999</v>
      </c>
      <c r="AC150" s="47">
        <f t="shared" si="94"/>
        <v>2.3933</v>
      </c>
      <c r="AD150" s="47"/>
      <c r="AE150" s="47"/>
      <c r="AF150" s="47">
        <f>ROUND(AG150*12/10000,4)</f>
        <v>10.910399999999999</v>
      </c>
      <c r="AG150" s="47">
        <v>9092</v>
      </c>
      <c r="AH150" s="47"/>
      <c r="AI150" s="47">
        <f t="shared" si="95"/>
        <v>0</v>
      </c>
      <c r="AJ150" s="53">
        <f t="shared" si="103"/>
        <v>8.8836999999999993</v>
      </c>
      <c r="AK150" s="53">
        <f t="shared" si="96"/>
        <v>88836.999999999985</v>
      </c>
      <c r="AL150" s="47"/>
      <c r="AM150" s="47">
        <f t="shared" si="104"/>
        <v>3.5886999999999998</v>
      </c>
      <c r="AN150" s="47">
        <f t="shared" si="105"/>
        <v>3.3776000000000002</v>
      </c>
      <c r="AO150" s="47">
        <f t="shared" si="97"/>
        <v>33776</v>
      </c>
      <c r="AP150" s="47">
        <f t="shared" si="85"/>
        <v>0.21110000000000001</v>
      </c>
      <c r="AQ150" s="47">
        <f t="shared" si="98"/>
        <v>2111</v>
      </c>
      <c r="AR150" s="47"/>
      <c r="AS150" s="47">
        <f t="shared" ref="AS150:AS162" si="108">ROUND(((T150*12/10000+AI150)*0.007+(U150+W150+AI150)*0.006),4)</f>
        <v>0.25330000000000003</v>
      </c>
      <c r="AT150" s="47">
        <f t="shared" ref="AT150:AT159" si="109">ROUND(((U150+W150+AI150)*0.006),4)</f>
        <v>0.25330000000000003</v>
      </c>
      <c r="AU150" s="47">
        <f t="shared" si="99"/>
        <v>2533.0000000000005</v>
      </c>
      <c r="AV150" s="47">
        <f t="shared" si="69"/>
        <v>0</v>
      </c>
      <c r="AW150" s="47">
        <f t="shared" si="100"/>
        <v>0</v>
      </c>
      <c r="AX150" s="47">
        <f t="shared" si="106"/>
        <v>6.6627999999999998</v>
      </c>
      <c r="AY150" s="47"/>
      <c r="AZ150" s="47"/>
      <c r="BA150" s="54">
        <v>1E-4</v>
      </c>
      <c r="BB150" s="55" t="s">
        <v>277</v>
      </c>
      <c r="BC150" s="51">
        <f t="shared" si="101"/>
        <v>23.167999999999999</v>
      </c>
      <c r="BD150" s="47">
        <f t="shared" si="107"/>
        <v>7.1999999999999993</v>
      </c>
      <c r="BE150" s="47">
        <f t="shared" si="102"/>
        <v>4.968</v>
      </c>
      <c r="BF150" s="47">
        <v>4140</v>
      </c>
      <c r="BG150" s="56">
        <v>11</v>
      </c>
      <c r="BH150" s="47"/>
      <c r="BI150" s="51">
        <f t="shared" si="86"/>
        <v>0</v>
      </c>
      <c r="BJ150" s="51">
        <f t="shared" si="87"/>
        <v>0</v>
      </c>
      <c r="BK150" s="47"/>
      <c r="BL150" s="47"/>
      <c r="BM150" s="47"/>
      <c r="BN150" s="47"/>
      <c r="BO150" s="47"/>
      <c r="BP150" s="47"/>
      <c r="BQ150" s="47"/>
      <c r="BR150" s="47"/>
      <c r="BS150" s="53"/>
      <c r="BT150" s="47"/>
      <c r="BU150" s="47"/>
      <c r="BV150" s="47"/>
      <c r="BW150" s="47"/>
      <c r="BX150" s="47"/>
      <c r="BY150" s="47"/>
      <c r="BZ150" s="47"/>
      <c r="CA150" s="47"/>
      <c r="CB150" s="54">
        <f t="shared" si="88"/>
        <v>98.079800000000006</v>
      </c>
    </row>
    <row r="151" spans="1:80" ht="14.25" customHeight="1">
      <c r="A151" s="47">
        <v>144</v>
      </c>
      <c r="B151" s="47" t="s">
        <v>129</v>
      </c>
      <c r="C151" s="75">
        <v>201001</v>
      </c>
      <c r="D151" s="49" t="s">
        <v>278</v>
      </c>
      <c r="E151" s="49" t="s">
        <v>131</v>
      </c>
      <c r="F151" s="50">
        <f t="shared" si="89"/>
        <v>26</v>
      </c>
      <c r="G151" s="50">
        <v>15</v>
      </c>
      <c r="H151" s="50">
        <v>3</v>
      </c>
      <c r="I151" s="50">
        <v>8</v>
      </c>
      <c r="J151" s="50"/>
      <c r="K151" s="50"/>
      <c r="L151" s="50"/>
      <c r="M151" s="50">
        <v>1</v>
      </c>
      <c r="N151" s="50">
        <v>30</v>
      </c>
      <c r="O151" s="50">
        <f t="shared" si="90"/>
        <v>57</v>
      </c>
      <c r="P151" s="51">
        <f t="shared" si="83"/>
        <v>518.55514000000005</v>
      </c>
      <c r="Q151" s="51">
        <f t="shared" si="84"/>
        <v>297.7641000000001</v>
      </c>
      <c r="R151" s="47">
        <f t="shared" si="91"/>
        <v>90661</v>
      </c>
      <c r="S151" s="58">
        <v>71022</v>
      </c>
      <c r="T151" s="58">
        <v>19639</v>
      </c>
      <c r="U151" s="47">
        <f t="shared" si="92"/>
        <v>108.7932</v>
      </c>
      <c r="V151" s="51">
        <f t="shared" si="2"/>
        <v>40.5</v>
      </c>
      <c r="W151" s="47">
        <f t="shared" si="93"/>
        <v>40.5</v>
      </c>
      <c r="X151" s="47"/>
      <c r="Y151" s="47"/>
      <c r="Z151" s="47"/>
      <c r="AA151" s="47"/>
      <c r="AB151" s="51">
        <f t="shared" si="63"/>
        <v>50.110200000000006</v>
      </c>
      <c r="AC151" s="47">
        <f t="shared" si="94"/>
        <v>7.1021999999999998</v>
      </c>
      <c r="AD151" s="47"/>
      <c r="AE151" s="47"/>
      <c r="AF151" s="47">
        <f>ROUND(AG151*12/10000,4)</f>
        <v>43.008000000000003</v>
      </c>
      <c r="AG151" s="47">
        <v>35840</v>
      </c>
      <c r="AH151" s="47"/>
      <c r="AI151" s="47">
        <f t="shared" si="95"/>
        <v>20.72</v>
      </c>
      <c r="AJ151" s="53">
        <f t="shared" si="103"/>
        <v>35.219700000000003</v>
      </c>
      <c r="AK151" s="53">
        <f t="shared" si="96"/>
        <v>352197.00000000006</v>
      </c>
      <c r="AL151" s="47"/>
      <c r="AM151" s="47">
        <f t="shared" si="104"/>
        <v>14.6761</v>
      </c>
      <c r="AN151" s="47">
        <f t="shared" si="105"/>
        <v>13.8261</v>
      </c>
      <c r="AO151" s="47">
        <f t="shared" si="97"/>
        <v>138261</v>
      </c>
      <c r="AP151" s="47">
        <f t="shared" si="85"/>
        <v>0.85009999999999997</v>
      </c>
      <c r="AQ151" s="47">
        <f t="shared" si="98"/>
        <v>8501</v>
      </c>
      <c r="AR151" s="47"/>
      <c r="AS151" s="47">
        <f t="shared" si="108"/>
        <v>1.3301000000000001</v>
      </c>
      <c r="AT151" s="47">
        <f t="shared" si="109"/>
        <v>1.0201</v>
      </c>
      <c r="AU151" s="47">
        <f t="shared" si="99"/>
        <v>10201</v>
      </c>
      <c r="AV151" s="47">
        <f t="shared" si="69"/>
        <v>0.31</v>
      </c>
      <c r="AW151" s="47">
        <f t="shared" si="100"/>
        <v>3100</v>
      </c>
      <c r="AX151" s="47">
        <f t="shared" si="106"/>
        <v>26.4148</v>
      </c>
      <c r="AY151" s="47"/>
      <c r="AZ151" s="47"/>
      <c r="BA151" s="54">
        <v>1E-4</v>
      </c>
      <c r="BB151" s="55" t="s">
        <v>278</v>
      </c>
      <c r="BC151" s="51">
        <f t="shared" si="101"/>
        <v>214.708</v>
      </c>
      <c r="BD151" s="47">
        <f t="shared" si="107"/>
        <v>29.279999999999998</v>
      </c>
      <c r="BE151" s="47">
        <f t="shared" si="102"/>
        <v>13.428000000000001</v>
      </c>
      <c r="BF151" s="47">
        <v>11190</v>
      </c>
      <c r="BG151" s="56">
        <v>172</v>
      </c>
      <c r="BH151" s="47"/>
      <c r="BI151" s="51">
        <f t="shared" si="86"/>
        <v>6.0830399999999996</v>
      </c>
      <c r="BJ151" s="51">
        <f t="shared" si="87"/>
        <v>4.4270399999999999</v>
      </c>
      <c r="BK151" s="47"/>
      <c r="BL151" s="47">
        <v>4.4270399999999999</v>
      </c>
      <c r="BM151" s="47"/>
      <c r="BN151" s="47"/>
      <c r="BO151" s="47"/>
      <c r="BP151" s="68">
        <v>1.6559999999999999</v>
      </c>
      <c r="BQ151" s="47"/>
      <c r="BR151" s="47"/>
      <c r="BS151" s="53"/>
      <c r="BT151" s="47"/>
      <c r="BU151" s="47"/>
      <c r="BV151" s="47"/>
      <c r="BW151" s="47"/>
      <c r="BX151" s="47"/>
      <c r="BY151" s="47"/>
      <c r="BZ151" s="47"/>
      <c r="CA151" s="47"/>
      <c r="CB151" s="54">
        <f t="shared" si="88"/>
        <v>518.55514000000005</v>
      </c>
    </row>
    <row r="152" spans="1:80" ht="14.25" customHeight="1">
      <c r="A152" s="47">
        <v>145</v>
      </c>
      <c r="B152" s="47" t="s">
        <v>129</v>
      </c>
      <c r="C152" s="75">
        <v>201004</v>
      </c>
      <c r="D152" s="59" t="s">
        <v>279</v>
      </c>
      <c r="E152" s="59" t="s">
        <v>141</v>
      </c>
      <c r="F152" s="50">
        <f t="shared" si="89"/>
        <v>23</v>
      </c>
      <c r="G152" s="50">
        <v>5</v>
      </c>
      <c r="H152" s="50">
        <v>18</v>
      </c>
      <c r="I152" s="50"/>
      <c r="J152" s="50"/>
      <c r="K152" s="50"/>
      <c r="L152" s="50"/>
      <c r="M152" s="50"/>
      <c r="N152" s="50">
        <v>1</v>
      </c>
      <c r="O152" s="50">
        <f t="shared" si="90"/>
        <v>24</v>
      </c>
      <c r="P152" s="51">
        <f t="shared" si="83"/>
        <v>349.2518</v>
      </c>
      <c r="Q152" s="51">
        <f t="shared" si="84"/>
        <v>237.35180000000003</v>
      </c>
      <c r="R152" s="47">
        <f t="shared" si="91"/>
        <v>68946</v>
      </c>
      <c r="S152" s="58">
        <v>68946</v>
      </c>
      <c r="T152" s="58"/>
      <c r="U152" s="47">
        <f t="shared" si="92"/>
        <v>82.735200000000006</v>
      </c>
      <c r="V152" s="51">
        <f t="shared" si="2"/>
        <v>51.75</v>
      </c>
      <c r="W152" s="47">
        <f t="shared" si="93"/>
        <v>51.75</v>
      </c>
      <c r="X152" s="47"/>
      <c r="Y152" s="47"/>
      <c r="Z152" s="47"/>
      <c r="AA152" s="47"/>
      <c r="AB152" s="51">
        <f t="shared" si="63"/>
        <v>41.378999999999998</v>
      </c>
      <c r="AC152" s="47">
        <f t="shared" si="94"/>
        <v>6.8945999999999996</v>
      </c>
      <c r="AD152" s="47"/>
      <c r="AE152" s="47"/>
      <c r="AF152" s="47">
        <f t="shared" ref="AF152:AF162" si="110">ROUND(AG152*12/10000,4)</f>
        <v>34.484400000000001</v>
      </c>
      <c r="AG152" s="47">
        <v>28737</v>
      </c>
      <c r="AH152" s="47"/>
      <c r="AI152" s="47">
        <f t="shared" si="95"/>
        <v>0</v>
      </c>
      <c r="AJ152" s="53">
        <f t="shared" si="103"/>
        <v>28.138300000000001</v>
      </c>
      <c r="AK152" s="53">
        <f t="shared" si="96"/>
        <v>281383</v>
      </c>
      <c r="AL152" s="47"/>
      <c r="AM152" s="47">
        <f t="shared" si="104"/>
        <v>11.438700000000001</v>
      </c>
      <c r="AN152" s="47">
        <f t="shared" si="105"/>
        <v>10.766299999999999</v>
      </c>
      <c r="AO152" s="47">
        <f t="shared" si="97"/>
        <v>107663</v>
      </c>
      <c r="AP152" s="47">
        <f t="shared" si="85"/>
        <v>0.6724</v>
      </c>
      <c r="AQ152" s="47">
        <f t="shared" si="98"/>
        <v>6724</v>
      </c>
      <c r="AR152" s="47"/>
      <c r="AS152" s="47">
        <f t="shared" si="108"/>
        <v>0.80689999999999995</v>
      </c>
      <c r="AT152" s="47">
        <f t="shared" si="109"/>
        <v>0.80689999999999995</v>
      </c>
      <c r="AU152" s="47">
        <f t="shared" si="99"/>
        <v>8068.9999999999991</v>
      </c>
      <c r="AV152" s="47">
        <f t="shared" si="69"/>
        <v>0</v>
      </c>
      <c r="AW152" s="47">
        <f t="shared" si="100"/>
        <v>0</v>
      </c>
      <c r="AX152" s="47">
        <f t="shared" si="106"/>
        <v>21.1037</v>
      </c>
      <c r="AY152" s="47"/>
      <c r="AZ152" s="47"/>
      <c r="BA152" s="54">
        <v>1E-4</v>
      </c>
      <c r="BB152" s="54" t="s">
        <v>279</v>
      </c>
      <c r="BC152" s="51">
        <f t="shared" si="101"/>
        <v>111.9</v>
      </c>
      <c r="BD152" s="47">
        <f t="shared" si="107"/>
        <v>27.599999999999998</v>
      </c>
      <c r="BE152" s="47">
        <f t="shared" si="102"/>
        <v>13.8</v>
      </c>
      <c r="BF152" s="47">
        <v>11500</v>
      </c>
      <c r="BG152" s="56">
        <v>69</v>
      </c>
      <c r="BH152" s="47">
        <v>1.5</v>
      </c>
      <c r="BI152" s="51">
        <f t="shared" si="86"/>
        <v>0</v>
      </c>
      <c r="BJ152" s="51">
        <f t="shared" si="87"/>
        <v>0</v>
      </c>
      <c r="BK152" s="47"/>
      <c r="BL152" s="47"/>
      <c r="BM152" s="47"/>
      <c r="BN152" s="47"/>
      <c r="BO152" s="47"/>
      <c r="BP152" s="47"/>
      <c r="BQ152" s="47"/>
      <c r="BR152" s="47"/>
      <c r="BS152" s="53"/>
      <c r="BT152" s="47"/>
      <c r="BU152" s="47"/>
      <c r="BV152" s="47"/>
      <c r="BW152" s="47"/>
      <c r="BX152" s="47"/>
      <c r="BY152" s="47"/>
      <c r="BZ152" s="47"/>
      <c r="CA152" s="47"/>
      <c r="CB152" s="54">
        <f t="shared" si="88"/>
        <v>349.2518</v>
      </c>
    </row>
    <row r="153" spans="1:80" s="79" customFormat="1" ht="14.25" customHeight="1">
      <c r="A153" s="47">
        <v>146</v>
      </c>
      <c r="B153" s="77" t="s">
        <v>129</v>
      </c>
      <c r="C153" s="78">
        <v>201003</v>
      </c>
      <c r="D153" s="49" t="s">
        <v>280</v>
      </c>
      <c r="E153" s="49" t="s">
        <v>150</v>
      </c>
      <c r="F153" s="50">
        <f t="shared" si="89"/>
        <v>10</v>
      </c>
      <c r="G153" s="50"/>
      <c r="H153" s="50"/>
      <c r="I153" s="50">
        <v>6</v>
      </c>
      <c r="J153" s="50">
        <v>4</v>
      </c>
      <c r="K153" s="50"/>
      <c r="L153" s="50"/>
      <c r="M153" s="50"/>
      <c r="N153" s="50">
        <v>6</v>
      </c>
      <c r="O153" s="50">
        <f t="shared" si="90"/>
        <v>16</v>
      </c>
      <c r="P153" s="51">
        <f t="shared" si="83"/>
        <v>167.95</v>
      </c>
      <c r="Q153" s="51">
        <f t="shared" si="84"/>
        <v>116.202</v>
      </c>
      <c r="R153" s="47">
        <f t="shared" si="91"/>
        <v>37515</v>
      </c>
      <c r="S153" s="58"/>
      <c r="T153" s="58">
        <v>37515</v>
      </c>
      <c r="U153" s="47">
        <f t="shared" si="92"/>
        <v>45.018000000000001</v>
      </c>
      <c r="V153" s="51">
        <f t="shared" si="2"/>
        <v>0</v>
      </c>
      <c r="W153" s="47">
        <f t="shared" si="93"/>
        <v>0</v>
      </c>
      <c r="X153" s="47"/>
      <c r="Y153" s="47"/>
      <c r="Z153" s="47"/>
      <c r="AA153" s="47"/>
      <c r="AB153" s="51">
        <f t="shared" si="63"/>
        <v>14.4</v>
      </c>
      <c r="AC153" s="47">
        <f t="shared" si="94"/>
        <v>0</v>
      </c>
      <c r="AD153" s="47"/>
      <c r="AE153" s="47"/>
      <c r="AF153" s="47">
        <f t="shared" si="110"/>
        <v>14.4</v>
      </c>
      <c r="AG153" s="47">
        <v>12000</v>
      </c>
      <c r="AH153" s="47"/>
      <c r="AI153" s="47">
        <f t="shared" si="95"/>
        <v>25.9</v>
      </c>
      <c r="AJ153" s="53">
        <f t="shared" si="103"/>
        <v>13.6509</v>
      </c>
      <c r="AK153" s="53">
        <f t="shared" si="96"/>
        <v>136509</v>
      </c>
      <c r="AL153" s="47"/>
      <c r="AM153" s="47">
        <f t="shared" si="104"/>
        <v>6.0730000000000004</v>
      </c>
      <c r="AN153" s="47">
        <f t="shared" si="105"/>
        <v>5.7183999999999999</v>
      </c>
      <c r="AO153" s="47">
        <f t="shared" si="97"/>
        <v>57184</v>
      </c>
      <c r="AP153" s="47">
        <f t="shared" si="85"/>
        <v>0.35460000000000003</v>
      </c>
      <c r="AQ153" s="47">
        <f t="shared" si="98"/>
        <v>3546.0000000000005</v>
      </c>
      <c r="AR153" s="47"/>
      <c r="AS153" s="47">
        <f t="shared" si="108"/>
        <v>0.92190000000000005</v>
      </c>
      <c r="AT153" s="47">
        <f t="shared" si="109"/>
        <v>0.42549999999999999</v>
      </c>
      <c r="AU153" s="47">
        <f t="shared" si="99"/>
        <v>4255</v>
      </c>
      <c r="AV153" s="47">
        <f t="shared" si="69"/>
        <v>0.49640000000000001</v>
      </c>
      <c r="AW153" s="47">
        <f t="shared" si="100"/>
        <v>4964</v>
      </c>
      <c r="AX153" s="47">
        <f t="shared" si="106"/>
        <v>10.238200000000001</v>
      </c>
      <c r="AY153" s="47"/>
      <c r="AZ153" s="47"/>
      <c r="BA153" s="54">
        <v>1E-4</v>
      </c>
      <c r="BB153" s="55" t="s">
        <v>280</v>
      </c>
      <c r="BC153" s="51">
        <f t="shared" si="101"/>
        <v>49.6</v>
      </c>
      <c r="BD153" s="47">
        <f t="shared" si="107"/>
        <v>9.6</v>
      </c>
      <c r="BE153" s="47">
        <f t="shared" si="102"/>
        <v>0</v>
      </c>
      <c r="BF153" s="47"/>
      <c r="BG153" s="56">
        <v>40</v>
      </c>
      <c r="BH153" s="47"/>
      <c r="BI153" s="51">
        <f t="shared" si="86"/>
        <v>2.1480000000000001</v>
      </c>
      <c r="BJ153" s="51">
        <f t="shared" si="87"/>
        <v>0</v>
      </c>
      <c r="BK153" s="47"/>
      <c r="BL153" s="47"/>
      <c r="BM153" s="47"/>
      <c r="BN153" s="47"/>
      <c r="BO153" s="47"/>
      <c r="BP153" s="68">
        <v>2.1480000000000001</v>
      </c>
      <c r="BQ153" s="47"/>
      <c r="BR153" s="47"/>
      <c r="BS153" s="53"/>
      <c r="BT153" s="47"/>
      <c r="BU153" s="47"/>
      <c r="BV153" s="47"/>
      <c r="BW153" s="47"/>
      <c r="BX153" s="47"/>
      <c r="BY153" s="47"/>
      <c r="BZ153" s="47"/>
      <c r="CA153" s="47"/>
      <c r="CB153" s="54">
        <f t="shared" si="88"/>
        <v>167.95</v>
      </c>
    </row>
    <row r="154" spans="1:80" ht="14.25" customHeight="1">
      <c r="A154" s="47">
        <v>147</v>
      </c>
      <c r="B154" s="47" t="s">
        <v>129</v>
      </c>
      <c r="C154" s="75">
        <v>201002</v>
      </c>
      <c r="D154" s="49" t="s">
        <v>281</v>
      </c>
      <c r="E154" s="49" t="s">
        <v>150</v>
      </c>
      <c r="F154" s="50">
        <f t="shared" si="89"/>
        <v>12</v>
      </c>
      <c r="G154" s="50"/>
      <c r="H154" s="50"/>
      <c r="I154" s="50">
        <v>8</v>
      </c>
      <c r="J154" s="50">
        <v>4</v>
      </c>
      <c r="K154" s="50"/>
      <c r="L154" s="50"/>
      <c r="M154" s="50"/>
      <c r="N154" s="50">
        <v>6</v>
      </c>
      <c r="O154" s="50">
        <f t="shared" si="90"/>
        <v>18</v>
      </c>
      <c r="P154" s="51">
        <f t="shared" si="83"/>
        <v>184.56155999999999</v>
      </c>
      <c r="Q154" s="51">
        <f t="shared" si="84"/>
        <v>132.04156</v>
      </c>
      <c r="R154" s="47">
        <f t="shared" si="91"/>
        <v>40547.800000000003</v>
      </c>
      <c r="S154" s="58"/>
      <c r="T154" s="58">
        <v>40547.800000000003</v>
      </c>
      <c r="U154" s="47">
        <f t="shared" si="92"/>
        <v>48.657359999999997</v>
      </c>
      <c r="V154" s="51">
        <f t="shared" si="2"/>
        <v>0</v>
      </c>
      <c r="W154" s="47">
        <f t="shared" si="93"/>
        <v>0</v>
      </c>
      <c r="X154" s="47"/>
      <c r="Y154" s="47"/>
      <c r="Z154" s="47"/>
      <c r="AA154" s="47"/>
      <c r="AB154" s="51">
        <f t="shared" si="63"/>
        <v>17.28</v>
      </c>
      <c r="AC154" s="47">
        <f t="shared" si="94"/>
        <v>0</v>
      </c>
      <c r="AD154" s="47"/>
      <c r="AE154" s="47"/>
      <c r="AF154" s="47">
        <f t="shared" si="110"/>
        <v>17.28</v>
      </c>
      <c r="AG154" s="47">
        <v>14400</v>
      </c>
      <c r="AH154" s="47"/>
      <c r="AI154" s="47">
        <f t="shared" si="95"/>
        <v>31.08</v>
      </c>
      <c r="AJ154" s="53">
        <f t="shared" si="103"/>
        <v>15.5228</v>
      </c>
      <c r="AK154" s="53">
        <f t="shared" si="96"/>
        <v>155228</v>
      </c>
      <c r="AL154" s="47"/>
      <c r="AM154" s="47">
        <f t="shared" si="104"/>
        <v>6.8227000000000002</v>
      </c>
      <c r="AN154" s="47">
        <f t="shared" si="105"/>
        <v>6.4240000000000004</v>
      </c>
      <c r="AO154" s="47">
        <f t="shared" si="97"/>
        <v>64240.000000000007</v>
      </c>
      <c r="AP154" s="47">
        <f t="shared" si="85"/>
        <v>0.3987</v>
      </c>
      <c r="AQ154" s="47">
        <f t="shared" si="98"/>
        <v>3987</v>
      </c>
      <c r="AR154" s="47"/>
      <c r="AS154" s="47">
        <f t="shared" si="108"/>
        <v>1.0366</v>
      </c>
      <c r="AT154" s="47">
        <f t="shared" si="109"/>
        <v>0.47839999999999999</v>
      </c>
      <c r="AU154" s="47">
        <f t="shared" si="99"/>
        <v>4784</v>
      </c>
      <c r="AV154" s="47">
        <f t="shared" si="69"/>
        <v>0.55820000000000003</v>
      </c>
      <c r="AW154" s="47">
        <f t="shared" si="100"/>
        <v>5582</v>
      </c>
      <c r="AX154" s="47">
        <f t="shared" si="106"/>
        <v>11.642099999999999</v>
      </c>
      <c r="AY154" s="47"/>
      <c r="AZ154" s="47"/>
      <c r="BA154" s="54">
        <v>1E-4</v>
      </c>
      <c r="BB154" s="55" t="s">
        <v>281</v>
      </c>
      <c r="BC154" s="51">
        <f t="shared" si="101"/>
        <v>52.519999999999996</v>
      </c>
      <c r="BD154" s="47">
        <f t="shared" si="107"/>
        <v>11.52</v>
      </c>
      <c r="BE154" s="47">
        <f t="shared" si="102"/>
        <v>0</v>
      </c>
      <c r="BF154" s="47"/>
      <c r="BG154" s="56">
        <v>41</v>
      </c>
      <c r="BH154" s="47"/>
      <c r="BI154" s="51">
        <f t="shared" si="86"/>
        <v>0</v>
      </c>
      <c r="BJ154" s="51">
        <f t="shared" si="87"/>
        <v>0</v>
      </c>
      <c r="BK154" s="47"/>
      <c r="BL154" s="47"/>
      <c r="BM154" s="47"/>
      <c r="BN154" s="47"/>
      <c r="BO154" s="47"/>
      <c r="BP154" s="47"/>
      <c r="BQ154" s="47"/>
      <c r="BR154" s="47"/>
      <c r="BS154" s="53"/>
      <c r="BT154" s="47"/>
      <c r="BU154" s="47"/>
      <c r="BV154" s="47"/>
      <c r="BW154" s="47"/>
      <c r="BX154" s="47"/>
      <c r="BY154" s="47"/>
      <c r="BZ154" s="47"/>
      <c r="CA154" s="47"/>
      <c r="CB154" s="54">
        <f t="shared" si="88"/>
        <v>184.56155999999999</v>
      </c>
    </row>
    <row r="155" spans="1:80" ht="14.25" customHeight="1">
      <c r="A155" s="47">
        <v>148</v>
      </c>
      <c r="B155" s="47" t="s">
        <v>129</v>
      </c>
      <c r="C155" s="75">
        <v>201005</v>
      </c>
      <c r="D155" s="49" t="s">
        <v>282</v>
      </c>
      <c r="E155" s="49" t="s">
        <v>150</v>
      </c>
      <c r="F155" s="50">
        <f t="shared" si="89"/>
        <v>6</v>
      </c>
      <c r="G155" s="50"/>
      <c r="H155" s="50"/>
      <c r="I155" s="50">
        <v>5</v>
      </c>
      <c r="J155" s="50">
        <v>1</v>
      </c>
      <c r="K155" s="50"/>
      <c r="L155" s="50"/>
      <c r="M155" s="50"/>
      <c r="N155" s="50"/>
      <c r="O155" s="50">
        <f t="shared" si="90"/>
        <v>6</v>
      </c>
      <c r="P155" s="51">
        <f t="shared" si="83"/>
        <v>98.235500000000002</v>
      </c>
      <c r="Q155" s="51">
        <f t="shared" si="84"/>
        <v>68.475500000000011</v>
      </c>
      <c r="R155" s="47">
        <f t="shared" si="91"/>
        <v>21772</v>
      </c>
      <c r="S155" s="58"/>
      <c r="T155" s="58">
        <v>21772</v>
      </c>
      <c r="U155" s="47">
        <f t="shared" si="92"/>
        <v>26.1264</v>
      </c>
      <c r="V155" s="51">
        <f t="shared" si="2"/>
        <v>0</v>
      </c>
      <c r="W155" s="47">
        <f t="shared" si="93"/>
        <v>0</v>
      </c>
      <c r="X155" s="47"/>
      <c r="Y155" s="47"/>
      <c r="Z155" s="47"/>
      <c r="AA155" s="47"/>
      <c r="AB155" s="51">
        <f t="shared" si="63"/>
        <v>8.64</v>
      </c>
      <c r="AC155" s="47">
        <f t="shared" si="94"/>
        <v>0</v>
      </c>
      <c r="AD155" s="47"/>
      <c r="AE155" s="47"/>
      <c r="AF155" s="47">
        <f t="shared" si="110"/>
        <v>8.64</v>
      </c>
      <c r="AG155" s="47">
        <v>7200</v>
      </c>
      <c r="AH155" s="47"/>
      <c r="AI155" s="47">
        <f t="shared" si="95"/>
        <v>15.54</v>
      </c>
      <c r="AJ155" s="53">
        <f t="shared" si="103"/>
        <v>8.0489999999999995</v>
      </c>
      <c r="AK155" s="53">
        <f t="shared" si="96"/>
        <v>80490</v>
      </c>
      <c r="AL155" s="47"/>
      <c r="AM155" s="47">
        <f t="shared" si="104"/>
        <v>3.5415999999999999</v>
      </c>
      <c r="AN155" s="47">
        <f t="shared" si="105"/>
        <v>3.3332999999999999</v>
      </c>
      <c r="AO155" s="47">
        <f t="shared" si="97"/>
        <v>33333</v>
      </c>
      <c r="AP155" s="47">
        <f t="shared" si="85"/>
        <v>0.20830000000000001</v>
      </c>
      <c r="AQ155" s="47">
        <f t="shared" si="98"/>
        <v>2083</v>
      </c>
      <c r="AR155" s="47"/>
      <c r="AS155" s="47">
        <f t="shared" si="108"/>
        <v>0.54169999999999996</v>
      </c>
      <c r="AT155" s="47">
        <f t="shared" si="109"/>
        <v>0.25</v>
      </c>
      <c r="AU155" s="47">
        <f t="shared" si="99"/>
        <v>2500</v>
      </c>
      <c r="AV155" s="47">
        <f t="shared" si="69"/>
        <v>0.29170000000000001</v>
      </c>
      <c r="AW155" s="47">
        <f t="shared" si="100"/>
        <v>2917</v>
      </c>
      <c r="AX155" s="47">
        <f t="shared" si="106"/>
        <v>6.0368000000000004</v>
      </c>
      <c r="AY155" s="47"/>
      <c r="AZ155" s="47"/>
      <c r="BA155" s="54">
        <v>1E-4</v>
      </c>
      <c r="BB155" s="55" t="s">
        <v>282</v>
      </c>
      <c r="BC155" s="51">
        <f t="shared" si="101"/>
        <v>29.759999999999998</v>
      </c>
      <c r="BD155" s="47">
        <f t="shared" si="107"/>
        <v>5.76</v>
      </c>
      <c r="BE155" s="47">
        <f t="shared" si="102"/>
        <v>0</v>
      </c>
      <c r="BF155" s="47"/>
      <c r="BG155" s="56">
        <v>24</v>
      </c>
      <c r="BH155" s="47"/>
      <c r="BI155" s="51">
        <f t="shared" si="86"/>
        <v>0</v>
      </c>
      <c r="BJ155" s="51">
        <f t="shared" si="87"/>
        <v>0</v>
      </c>
      <c r="BK155" s="47"/>
      <c r="BL155" s="47"/>
      <c r="BM155" s="47"/>
      <c r="BN155" s="47"/>
      <c r="BO155" s="47"/>
      <c r="BP155" s="47"/>
      <c r="BQ155" s="47"/>
      <c r="BR155" s="47"/>
      <c r="BS155" s="53"/>
      <c r="BT155" s="47"/>
      <c r="BU155" s="47"/>
      <c r="BV155" s="47"/>
      <c r="BW155" s="47"/>
      <c r="BX155" s="47"/>
      <c r="BY155" s="47"/>
      <c r="BZ155" s="47"/>
      <c r="CA155" s="47"/>
      <c r="CB155" s="54">
        <f t="shared" si="88"/>
        <v>98.235500000000002</v>
      </c>
    </row>
    <row r="156" spans="1:80" ht="14.25" customHeight="1">
      <c r="A156" s="47">
        <v>149</v>
      </c>
      <c r="B156" s="47" t="s">
        <v>129</v>
      </c>
      <c r="C156" s="75">
        <v>201006</v>
      </c>
      <c r="D156" s="49" t="s">
        <v>283</v>
      </c>
      <c r="E156" s="49" t="s">
        <v>150</v>
      </c>
      <c r="F156" s="50">
        <f t="shared" si="89"/>
        <v>8</v>
      </c>
      <c r="G156" s="50"/>
      <c r="H156" s="50"/>
      <c r="I156" s="50">
        <v>5</v>
      </c>
      <c r="J156" s="50">
        <v>3</v>
      </c>
      <c r="K156" s="50"/>
      <c r="L156" s="50"/>
      <c r="M156" s="50"/>
      <c r="N156" s="50"/>
      <c r="O156" s="50">
        <f t="shared" si="90"/>
        <v>8</v>
      </c>
      <c r="P156" s="51">
        <f t="shared" si="83"/>
        <v>119.1532</v>
      </c>
      <c r="Q156" s="51">
        <f t="shared" si="84"/>
        <v>86.473200000000006</v>
      </c>
      <c r="R156" s="47">
        <f t="shared" si="91"/>
        <v>26110</v>
      </c>
      <c r="S156" s="58"/>
      <c r="T156" s="58">
        <v>26110</v>
      </c>
      <c r="U156" s="47">
        <f t="shared" si="92"/>
        <v>31.332000000000001</v>
      </c>
      <c r="V156" s="51">
        <f t="shared" si="2"/>
        <v>0</v>
      </c>
      <c r="W156" s="47">
        <f t="shared" si="93"/>
        <v>0</v>
      </c>
      <c r="X156" s="47"/>
      <c r="Y156" s="47"/>
      <c r="Z156" s="47"/>
      <c r="AA156" s="47"/>
      <c r="AB156" s="51">
        <f t="shared" si="63"/>
        <v>11.52</v>
      </c>
      <c r="AC156" s="47">
        <f t="shared" si="94"/>
        <v>0</v>
      </c>
      <c r="AD156" s="47"/>
      <c r="AE156" s="47"/>
      <c r="AF156" s="47">
        <f t="shared" si="110"/>
        <v>11.52</v>
      </c>
      <c r="AG156" s="47">
        <v>9600</v>
      </c>
      <c r="AH156" s="47"/>
      <c r="AI156" s="47">
        <f t="shared" si="95"/>
        <v>20.72</v>
      </c>
      <c r="AJ156" s="53">
        <f t="shared" si="103"/>
        <v>10.1715</v>
      </c>
      <c r="AK156" s="53">
        <f t="shared" si="96"/>
        <v>101715</v>
      </c>
      <c r="AL156" s="47"/>
      <c r="AM156" s="47">
        <f t="shared" si="104"/>
        <v>4.4244000000000003</v>
      </c>
      <c r="AN156" s="47">
        <f t="shared" si="105"/>
        <v>4.1642000000000001</v>
      </c>
      <c r="AO156" s="47">
        <f t="shared" si="97"/>
        <v>41642</v>
      </c>
      <c r="AP156" s="47">
        <f t="shared" si="85"/>
        <v>0.26029999999999998</v>
      </c>
      <c r="AQ156" s="47">
        <f t="shared" si="98"/>
        <v>2602.9999999999995</v>
      </c>
      <c r="AR156" s="47"/>
      <c r="AS156" s="47">
        <f t="shared" si="108"/>
        <v>0.67669999999999997</v>
      </c>
      <c r="AT156" s="47">
        <f t="shared" si="109"/>
        <v>0.31230000000000002</v>
      </c>
      <c r="AU156" s="47">
        <f t="shared" si="99"/>
        <v>3123</v>
      </c>
      <c r="AV156" s="47">
        <f t="shared" si="69"/>
        <v>0.3644</v>
      </c>
      <c r="AW156" s="47">
        <f t="shared" si="100"/>
        <v>3644</v>
      </c>
      <c r="AX156" s="47">
        <f t="shared" si="106"/>
        <v>7.6285999999999996</v>
      </c>
      <c r="AY156" s="47"/>
      <c r="AZ156" s="47"/>
      <c r="BA156" s="54">
        <v>1E-4</v>
      </c>
      <c r="BB156" s="55" t="s">
        <v>283</v>
      </c>
      <c r="BC156" s="51">
        <f t="shared" si="101"/>
        <v>32.68</v>
      </c>
      <c r="BD156" s="47">
        <f t="shared" si="107"/>
        <v>7.68</v>
      </c>
      <c r="BE156" s="47">
        <f t="shared" si="102"/>
        <v>0</v>
      </c>
      <c r="BF156" s="47"/>
      <c r="BG156" s="56">
        <v>25</v>
      </c>
      <c r="BH156" s="47"/>
      <c r="BI156" s="51">
        <f t="shared" si="86"/>
        <v>0</v>
      </c>
      <c r="BJ156" s="51">
        <f t="shared" si="87"/>
        <v>0</v>
      </c>
      <c r="BK156" s="47"/>
      <c r="BL156" s="47"/>
      <c r="BM156" s="47"/>
      <c r="BN156" s="47"/>
      <c r="BO156" s="47"/>
      <c r="BP156" s="47"/>
      <c r="BQ156" s="47"/>
      <c r="BR156" s="47"/>
      <c r="BS156" s="53"/>
      <c r="BT156" s="47"/>
      <c r="BU156" s="47"/>
      <c r="BV156" s="47"/>
      <c r="BW156" s="47"/>
      <c r="BX156" s="47"/>
      <c r="BY156" s="47"/>
      <c r="BZ156" s="47"/>
      <c r="CA156" s="47"/>
      <c r="CB156" s="54">
        <f t="shared" si="88"/>
        <v>119.1532</v>
      </c>
    </row>
    <row r="157" spans="1:80" ht="14.25" customHeight="1">
      <c r="A157" s="47">
        <v>150</v>
      </c>
      <c r="B157" s="47" t="s">
        <v>129</v>
      </c>
      <c r="C157" s="75">
        <v>204001</v>
      </c>
      <c r="D157" s="49" t="s">
        <v>284</v>
      </c>
      <c r="E157" s="49" t="s">
        <v>150</v>
      </c>
      <c r="F157" s="50">
        <f t="shared" si="89"/>
        <v>43</v>
      </c>
      <c r="G157" s="50"/>
      <c r="H157" s="50"/>
      <c r="I157" s="50">
        <v>28</v>
      </c>
      <c r="J157" s="50">
        <v>15</v>
      </c>
      <c r="K157" s="50"/>
      <c r="L157" s="50"/>
      <c r="M157" s="50"/>
      <c r="N157" s="50">
        <v>16</v>
      </c>
      <c r="O157" s="50">
        <f t="shared" si="90"/>
        <v>59</v>
      </c>
      <c r="P157" s="51">
        <f t="shared" si="83"/>
        <v>657.7152000000001</v>
      </c>
      <c r="Q157" s="51">
        <f t="shared" si="84"/>
        <v>491.43520000000007</v>
      </c>
      <c r="R157" s="47">
        <f t="shared" si="91"/>
        <v>132795</v>
      </c>
      <c r="S157" s="58"/>
      <c r="T157" s="58">
        <v>132795</v>
      </c>
      <c r="U157" s="47">
        <f t="shared" si="92"/>
        <v>159.35400000000001</v>
      </c>
      <c r="V157" s="51">
        <f t="shared" si="2"/>
        <v>0</v>
      </c>
      <c r="W157" s="47">
        <f t="shared" si="93"/>
        <v>0</v>
      </c>
      <c r="X157" s="47"/>
      <c r="Y157" s="47"/>
      <c r="Z157" s="47"/>
      <c r="AA157" s="47"/>
      <c r="AB157" s="51">
        <f t="shared" ref="AB157:AB159" si="111">SUM(AC157:AF157)</f>
        <v>61.92</v>
      </c>
      <c r="AC157" s="47">
        <f t="shared" si="94"/>
        <v>0</v>
      </c>
      <c r="AD157" s="47"/>
      <c r="AE157" s="47"/>
      <c r="AF157" s="47">
        <f t="shared" si="110"/>
        <v>61.92</v>
      </c>
      <c r="AG157" s="47">
        <v>51600</v>
      </c>
      <c r="AH157" s="47"/>
      <c r="AI157" s="47">
        <f t="shared" si="95"/>
        <v>111.37</v>
      </c>
      <c r="AJ157" s="53">
        <f t="shared" si="103"/>
        <v>53.222999999999999</v>
      </c>
      <c r="AK157" s="53">
        <f t="shared" si="96"/>
        <v>532230</v>
      </c>
      <c r="AL157" s="47"/>
      <c r="AM157" s="47">
        <f t="shared" si="104"/>
        <v>23.131499999999999</v>
      </c>
      <c r="AN157" s="47">
        <f t="shared" si="105"/>
        <v>21.777899999999999</v>
      </c>
      <c r="AO157" s="47">
        <f t="shared" si="97"/>
        <v>217779</v>
      </c>
      <c r="AP157" s="47">
        <f t="shared" si="85"/>
        <v>1.3535999999999999</v>
      </c>
      <c r="AQ157" s="47">
        <f t="shared" si="98"/>
        <v>13536</v>
      </c>
      <c r="AR157" s="47"/>
      <c r="AS157" s="47">
        <f t="shared" si="108"/>
        <v>3.5194000000000001</v>
      </c>
      <c r="AT157" s="47">
        <f t="shared" si="109"/>
        <v>1.6243000000000001</v>
      </c>
      <c r="AU157" s="47">
        <f t="shared" si="99"/>
        <v>16243</v>
      </c>
      <c r="AV157" s="47">
        <f t="shared" si="69"/>
        <v>1.8951</v>
      </c>
      <c r="AW157" s="47">
        <f t="shared" si="100"/>
        <v>18951</v>
      </c>
      <c r="AX157" s="47">
        <f t="shared" si="106"/>
        <v>39.917299999999997</v>
      </c>
      <c r="AY157" s="47"/>
      <c r="AZ157" s="67">
        <v>39</v>
      </c>
      <c r="BA157" s="54">
        <v>1E-4</v>
      </c>
      <c r="BB157" s="55" t="s">
        <v>284</v>
      </c>
      <c r="BC157" s="51">
        <f t="shared" si="101"/>
        <v>166.28</v>
      </c>
      <c r="BD157" s="47">
        <f t="shared" si="107"/>
        <v>41.28</v>
      </c>
      <c r="BE157" s="47">
        <f t="shared" si="102"/>
        <v>0</v>
      </c>
      <c r="BF157" s="47"/>
      <c r="BG157" s="56">
        <v>125</v>
      </c>
      <c r="BH157" s="47"/>
      <c r="BI157" s="51">
        <f t="shared" si="86"/>
        <v>0</v>
      </c>
      <c r="BJ157" s="51">
        <f t="shared" si="87"/>
        <v>0</v>
      </c>
      <c r="BK157" s="47"/>
      <c r="BL157" s="47"/>
      <c r="BM157" s="47"/>
      <c r="BN157" s="47"/>
      <c r="BO157" s="47"/>
      <c r="BP157" s="47"/>
      <c r="BQ157" s="47"/>
      <c r="BR157" s="47"/>
      <c r="BS157" s="53"/>
      <c r="BT157" s="47"/>
      <c r="BU157" s="47"/>
      <c r="BV157" s="47"/>
      <c r="BW157" s="47"/>
      <c r="BX157" s="47"/>
      <c r="BY157" s="47"/>
      <c r="BZ157" s="47"/>
      <c r="CA157" s="47"/>
      <c r="CB157" s="54">
        <f t="shared" si="88"/>
        <v>657.7152000000001</v>
      </c>
    </row>
    <row r="158" spans="1:80">
      <c r="A158" s="47">
        <v>151</v>
      </c>
      <c r="B158" s="47" t="s">
        <v>129</v>
      </c>
      <c r="C158" s="75">
        <v>203001</v>
      </c>
      <c r="D158" s="49" t="s">
        <v>285</v>
      </c>
      <c r="E158" s="49" t="s">
        <v>141</v>
      </c>
      <c r="F158" s="50">
        <f t="shared" si="89"/>
        <v>11</v>
      </c>
      <c r="G158" s="50">
        <v>10</v>
      </c>
      <c r="H158" s="50">
        <v>1</v>
      </c>
      <c r="I158" s="50"/>
      <c r="J158" s="50"/>
      <c r="K158" s="50"/>
      <c r="L158" s="50"/>
      <c r="M158" s="50"/>
      <c r="N158" s="50">
        <v>9</v>
      </c>
      <c r="O158" s="50">
        <f t="shared" si="90"/>
        <v>20</v>
      </c>
      <c r="P158" s="51">
        <f t="shared" si="83"/>
        <v>182.94979999999998</v>
      </c>
      <c r="Q158" s="51">
        <f t="shared" si="84"/>
        <v>131.7098</v>
      </c>
      <c r="R158" s="47">
        <f t="shared" si="91"/>
        <v>41193</v>
      </c>
      <c r="S158" s="58">
        <v>41193</v>
      </c>
      <c r="T158" s="58"/>
      <c r="U158" s="47">
        <f t="shared" si="92"/>
        <v>49.431600000000003</v>
      </c>
      <c r="V158" s="51">
        <f t="shared" si="2"/>
        <v>24.75</v>
      </c>
      <c r="W158" s="47">
        <f t="shared" si="93"/>
        <v>24.75</v>
      </c>
      <c r="X158" s="47"/>
      <c r="Y158" s="47"/>
      <c r="Z158" s="47"/>
      <c r="AA158" s="47"/>
      <c r="AB158" s="51">
        <f t="shared" si="111"/>
        <v>23.3901</v>
      </c>
      <c r="AC158" s="47">
        <f t="shared" si="94"/>
        <v>4.1193</v>
      </c>
      <c r="AD158" s="47"/>
      <c r="AE158" s="47"/>
      <c r="AF158" s="47">
        <f t="shared" si="110"/>
        <v>19.270800000000001</v>
      </c>
      <c r="AG158" s="47">
        <v>16059</v>
      </c>
      <c r="AH158" s="47"/>
      <c r="AI158" s="47">
        <f t="shared" si="95"/>
        <v>0</v>
      </c>
      <c r="AJ158" s="53">
        <f t="shared" si="103"/>
        <v>15.611499999999999</v>
      </c>
      <c r="AK158" s="53">
        <f t="shared" si="96"/>
        <v>156115</v>
      </c>
      <c r="AL158" s="47"/>
      <c r="AM158" s="47">
        <f t="shared" si="104"/>
        <v>6.3728999999999996</v>
      </c>
      <c r="AN158" s="47">
        <f t="shared" si="105"/>
        <v>6.0019999999999998</v>
      </c>
      <c r="AO158" s="47">
        <f t="shared" si="97"/>
        <v>60020</v>
      </c>
      <c r="AP158" s="47">
        <f t="shared" si="85"/>
        <v>0.37090000000000001</v>
      </c>
      <c r="AQ158" s="47">
        <f t="shared" si="98"/>
        <v>3709</v>
      </c>
      <c r="AR158" s="47"/>
      <c r="AS158" s="47">
        <f t="shared" si="108"/>
        <v>0.4451</v>
      </c>
      <c r="AT158" s="47">
        <f t="shared" si="109"/>
        <v>0.4451</v>
      </c>
      <c r="AU158" s="47">
        <f t="shared" si="99"/>
        <v>4451</v>
      </c>
      <c r="AV158" s="47">
        <f t="shared" si="69"/>
        <v>0</v>
      </c>
      <c r="AW158" s="47">
        <f t="shared" si="100"/>
        <v>0</v>
      </c>
      <c r="AX158" s="47">
        <f t="shared" si="106"/>
        <v>11.708600000000001</v>
      </c>
      <c r="AY158" s="47"/>
      <c r="AZ158" s="47"/>
      <c r="BA158" s="54">
        <v>1E-4</v>
      </c>
      <c r="BB158" s="55" t="s">
        <v>285</v>
      </c>
      <c r="BC158" s="51">
        <f t="shared" si="101"/>
        <v>51.239999999999995</v>
      </c>
      <c r="BD158" s="47">
        <f t="shared" si="107"/>
        <v>13.2</v>
      </c>
      <c r="BE158" s="47">
        <f t="shared" si="102"/>
        <v>8.0399999999999991</v>
      </c>
      <c r="BF158" s="47">
        <v>6700</v>
      </c>
      <c r="BG158" s="56">
        <v>30</v>
      </c>
      <c r="BH158" s="47"/>
      <c r="BI158" s="51">
        <f t="shared" si="86"/>
        <v>0</v>
      </c>
      <c r="BJ158" s="51">
        <f t="shared" si="87"/>
        <v>0</v>
      </c>
      <c r="BK158" s="47"/>
      <c r="BL158" s="47"/>
      <c r="BM158" s="47"/>
      <c r="BN158" s="47"/>
      <c r="BO158" s="47"/>
      <c r="BP158" s="47"/>
      <c r="BQ158" s="47"/>
      <c r="BR158" s="47"/>
      <c r="BS158" s="53"/>
      <c r="BT158" s="47"/>
      <c r="BU158" s="47"/>
      <c r="BV158" s="47"/>
      <c r="BW158" s="47"/>
      <c r="BX158" s="47"/>
      <c r="BY158" s="47"/>
      <c r="BZ158" s="47"/>
      <c r="CA158" s="47"/>
      <c r="CB158" s="54">
        <f t="shared" si="88"/>
        <v>182.94979999999998</v>
      </c>
    </row>
    <row r="159" spans="1:80">
      <c r="A159" s="47">
        <v>152</v>
      </c>
      <c r="B159" s="47" t="s">
        <v>129</v>
      </c>
      <c r="C159" s="75">
        <v>206001</v>
      </c>
      <c r="D159" s="49" t="s">
        <v>286</v>
      </c>
      <c r="E159" s="49" t="s">
        <v>150</v>
      </c>
      <c r="F159" s="50">
        <f t="shared" si="89"/>
        <v>29</v>
      </c>
      <c r="G159" s="50"/>
      <c r="H159" s="50"/>
      <c r="I159" s="50">
        <v>8</v>
      </c>
      <c r="J159" s="50">
        <v>21</v>
      </c>
      <c r="K159" s="50"/>
      <c r="L159" s="50"/>
      <c r="M159" s="50"/>
      <c r="N159" s="50">
        <v>7</v>
      </c>
      <c r="O159" s="50">
        <f t="shared" si="90"/>
        <v>36</v>
      </c>
      <c r="P159" s="51">
        <f t="shared" si="83"/>
        <v>392.76139999999998</v>
      </c>
      <c r="Q159" s="51">
        <f t="shared" si="84"/>
        <v>324.92139999999995</v>
      </c>
      <c r="R159" s="47">
        <f t="shared" si="91"/>
        <v>102659.5</v>
      </c>
      <c r="S159" s="58"/>
      <c r="T159" s="58">
        <v>102659.5</v>
      </c>
      <c r="U159" s="47">
        <f t="shared" si="92"/>
        <v>123.1914</v>
      </c>
      <c r="V159" s="51"/>
      <c r="W159" s="47">
        <f t="shared" si="93"/>
        <v>0</v>
      </c>
      <c r="X159" s="47"/>
      <c r="Y159" s="47"/>
      <c r="Z159" s="47"/>
      <c r="AA159" s="47"/>
      <c r="AB159" s="51">
        <f t="shared" si="111"/>
        <v>40.32</v>
      </c>
      <c r="AC159" s="47">
        <f t="shared" si="94"/>
        <v>0</v>
      </c>
      <c r="AD159" s="47"/>
      <c r="AE159" s="47"/>
      <c r="AF159" s="47">
        <f t="shared" si="110"/>
        <v>40.32</v>
      </c>
      <c r="AG159" s="47">
        <v>33600</v>
      </c>
      <c r="AH159" s="47"/>
      <c r="AI159" s="47">
        <f t="shared" si="95"/>
        <v>75.11</v>
      </c>
      <c r="AJ159" s="53">
        <f t="shared" si="103"/>
        <v>38.179400000000001</v>
      </c>
      <c r="AK159" s="53">
        <f t="shared" si="96"/>
        <v>381794</v>
      </c>
      <c r="AL159" s="47"/>
      <c r="AM159" s="47">
        <f t="shared" si="104"/>
        <v>16.908100000000001</v>
      </c>
      <c r="AN159" s="47">
        <f t="shared" si="105"/>
        <v>15.916600000000001</v>
      </c>
      <c r="AO159" s="47">
        <f t="shared" si="97"/>
        <v>159166</v>
      </c>
      <c r="AP159" s="47">
        <f t="shared" si="85"/>
        <v>0.99150000000000005</v>
      </c>
      <c r="AQ159" s="47">
        <f t="shared" si="98"/>
        <v>9915</v>
      </c>
      <c r="AR159" s="47"/>
      <c r="AS159" s="47">
        <f t="shared" si="108"/>
        <v>2.5779000000000001</v>
      </c>
      <c r="AT159" s="47">
        <f t="shared" si="109"/>
        <v>1.1898</v>
      </c>
      <c r="AU159" s="47">
        <f t="shared" si="99"/>
        <v>11898</v>
      </c>
      <c r="AV159" s="47">
        <f t="shared" si="69"/>
        <v>1.3880999999999999</v>
      </c>
      <c r="AW159" s="47">
        <f t="shared" si="100"/>
        <v>13880.999999999998</v>
      </c>
      <c r="AX159" s="47">
        <f t="shared" si="106"/>
        <v>28.634599999999999</v>
      </c>
      <c r="AY159" s="47"/>
      <c r="AZ159" s="47"/>
      <c r="BA159" s="54"/>
      <c r="BB159" s="49" t="s">
        <v>286</v>
      </c>
      <c r="BC159" s="51">
        <f t="shared" si="101"/>
        <v>67.84</v>
      </c>
      <c r="BD159" s="47">
        <f t="shared" si="107"/>
        <v>27.84</v>
      </c>
      <c r="BE159" s="47">
        <f t="shared" si="102"/>
        <v>0</v>
      </c>
      <c r="BF159" s="47"/>
      <c r="BG159" s="56">
        <v>40</v>
      </c>
      <c r="BH159" s="47"/>
      <c r="BI159" s="51">
        <f t="shared" si="86"/>
        <v>0</v>
      </c>
      <c r="BJ159" s="51">
        <f t="shared" si="87"/>
        <v>0</v>
      </c>
      <c r="BK159" s="47"/>
      <c r="BL159" s="47"/>
      <c r="BM159" s="47"/>
      <c r="BN159" s="47"/>
      <c r="BO159" s="47"/>
      <c r="BP159" s="47"/>
      <c r="BQ159" s="47"/>
      <c r="BR159" s="47"/>
      <c r="BS159" s="53"/>
      <c r="BT159" s="47"/>
      <c r="BU159" s="47"/>
      <c r="BV159" s="47"/>
      <c r="BW159" s="47"/>
      <c r="BX159" s="47"/>
      <c r="BY159" s="47"/>
      <c r="BZ159" s="47"/>
      <c r="CA159" s="47"/>
      <c r="CB159" s="54">
        <f t="shared" si="88"/>
        <v>392.76139999999998</v>
      </c>
    </row>
    <row r="160" spans="1:80">
      <c r="A160" s="47">
        <v>153</v>
      </c>
      <c r="B160" s="47"/>
      <c r="C160" s="75"/>
      <c r="D160" s="49" t="s">
        <v>287</v>
      </c>
      <c r="E160" s="49"/>
      <c r="F160" s="50">
        <f>SUM(F8:F159)</f>
        <v>12097</v>
      </c>
      <c r="G160" s="50">
        <f t="shared" ref="G160:BS160" si="112">SUM(G8:G159)</f>
        <v>2205</v>
      </c>
      <c r="H160" s="50">
        <f t="shared" si="112"/>
        <v>311</v>
      </c>
      <c r="I160" s="50">
        <f t="shared" si="112"/>
        <v>8908</v>
      </c>
      <c r="J160" s="50">
        <f t="shared" si="112"/>
        <v>496</v>
      </c>
      <c r="K160" s="50">
        <f t="shared" si="112"/>
        <v>177</v>
      </c>
      <c r="L160" s="50">
        <f t="shared" si="112"/>
        <v>199</v>
      </c>
      <c r="M160" s="50">
        <f t="shared" si="112"/>
        <v>9</v>
      </c>
      <c r="N160" s="50">
        <f t="shared" si="112"/>
        <v>6175</v>
      </c>
      <c r="O160" s="50">
        <f t="shared" si="112"/>
        <v>18480</v>
      </c>
      <c r="P160" s="50">
        <f t="shared" si="112"/>
        <v>200380.59036000009</v>
      </c>
      <c r="Q160" s="50">
        <f t="shared" si="112"/>
        <v>150990.24252000003</v>
      </c>
      <c r="R160" s="50">
        <f t="shared" si="112"/>
        <v>44282384</v>
      </c>
      <c r="S160" s="50">
        <f t="shared" si="112"/>
        <v>9106447.1999999993</v>
      </c>
      <c r="T160" s="50">
        <f t="shared" si="112"/>
        <v>35175936.799999997</v>
      </c>
      <c r="U160" s="50">
        <f t="shared" si="112"/>
        <v>52978.880220000006</v>
      </c>
      <c r="V160" s="50">
        <f t="shared" si="112"/>
        <v>15959.066599999998</v>
      </c>
      <c r="W160" s="50">
        <f t="shared" si="112"/>
        <v>5661</v>
      </c>
      <c r="X160" s="50">
        <f t="shared" si="112"/>
        <v>6799.0780000000013</v>
      </c>
      <c r="Y160" s="50">
        <f t="shared" si="112"/>
        <v>2224.7200000000003</v>
      </c>
      <c r="Z160" s="50">
        <f t="shared" si="112"/>
        <v>0</v>
      </c>
      <c r="AA160" s="50">
        <f t="shared" si="112"/>
        <v>1274.2685999999999</v>
      </c>
      <c r="AB160" s="50">
        <f t="shared" si="112"/>
        <v>15264.750100000003</v>
      </c>
      <c r="AC160" s="50">
        <f t="shared" si="112"/>
        <v>873.61570000000017</v>
      </c>
      <c r="AD160" s="50">
        <f t="shared" si="112"/>
        <v>569.69999999999993</v>
      </c>
      <c r="AE160" s="50">
        <f t="shared" si="112"/>
        <v>5753.16</v>
      </c>
      <c r="AF160" s="50">
        <f t="shared" si="112"/>
        <v>8068.2744000000002</v>
      </c>
      <c r="AG160" s="50">
        <f t="shared" si="112"/>
        <v>10991962</v>
      </c>
      <c r="AH160" s="50">
        <f t="shared" si="112"/>
        <v>0</v>
      </c>
      <c r="AI160" s="50">
        <f t="shared" si="112"/>
        <v>24894.044000000005</v>
      </c>
      <c r="AJ160" s="50">
        <f t="shared" si="112"/>
        <v>15717.365400000006</v>
      </c>
      <c r="AK160" s="50">
        <f t="shared" si="112"/>
        <v>157183072</v>
      </c>
      <c r="AL160" s="50">
        <f t="shared" si="112"/>
        <v>82.835599999999999</v>
      </c>
      <c r="AM160" s="50">
        <f t="shared" si="112"/>
        <v>7244.7151999999987</v>
      </c>
      <c r="AN160" s="50">
        <f t="shared" si="112"/>
        <v>6819.9453999999996</v>
      </c>
      <c r="AO160" s="50">
        <f t="shared" si="112"/>
        <v>68203011</v>
      </c>
      <c r="AP160" s="50">
        <f t="shared" si="112"/>
        <v>420.85510000000005</v>
      </c>
      <c r="AQ160" s="50">
        <f t="shared" si="112"/>
        <v>4208773</v>
      </c>
      <c r="AR160" s="50">
        <f t="shared" si="112"/>
        <v>0</v>
      </c>
      <c r="AS160" s="50">
        <f t="shared" si="112"/>
        <v>1117.2114999999999</v>
      </c>
      <c r="AT160" s="50">
        <f t="shared" si="112"/>
        <v>644.13530000000026</v>
      </c>
      <c r="AU160" s="50">
        <f t="shared" si="112"/>
        <v>6441620</v>
      </c>
      <c r="AV160" s="50">
        <f t="shared" si="112"/>
        <v>473.07560000000001</v>
      </c>
      <c r="AW160" s="50">
        <f t="shared" si="112"/>
        <v>4731067</v>
      </c>
      <c r="AX160" s="50">
        <f t="shared" si="112"/>
        <v>11788.023899999998</v>
      </c>
      <c r="AY160" s="50">
        <f t="shared" si="112"/>
        <v>0</v>
      </c>
      <c r="AZ160" s="50">
        <f t="shared" si="112"/>
        <v>5943.35</v>
      </c>
      <c r="BA160" s="50">
        <f t="shared" si="112"/>
        <v>1.5099999999999964E-2</v>
      </c>
      <c r="BB160" s="49" t="s">
        <v>287</v>
      </c>
      <c r="BC160" s="51">
        <f t="shared" si="101"/>
        <v>34121.97</v>
      </c>
      <c r="BD160" s="50">
        <f t="shared" si="112"/>
        <v>6875.7400000000007</v>
      </c>
      <c r="BE160" s="50">
        <f t="shared" si="112"/>
        <v>1934.28</v>
      </c>
      <c r="BF160" s="50">
        <f t="shared" si="112"/>
        <v>1611900</v>
      </c>
      <c r="BG160" s="50">
        <f t="shared" si="112"/>
        <v>18928.050000000003</v>
      </c>
      <c r="BH160" s="50">
        <f t="shared" si="112"/>
        <v>6383.9</v>
      </c>
      <c r="BI160" s="50">
        <f t="shared" si="112"/>
        <v>15268.377839999999</v>
      </c>
      <c r="BJ160" s="51">
        <f t="shared" si="87"/>
        <v>188.95403999999999</v>
      </c>
      <c r="BK160" s="50">
        <f t="shared" si="112"/>
        <v>152.964</v>
      </c>
      <c r="BL160" s="50">
        <f t="shared" si="112"/>
        <v>35.990039999999993</v>
      </c>
      <c r="BM160" s="50">
        <f t="shared" si="112"/>
        <v>0</v>
      </c>
      <c r="BN160" s="50">
        <f t="shared" si="112"/>
        <v>0</v>
      </c>
      <c r="BO160" s="50">
        <f t="shared" si="112"/>
        <v>0</v>
      </c>
      <c r="BP160" s="50">
        <f t="shared" si="112"/>
        <v>854.72560000000021</v>
      </c>
      <c r="BQ160" s="50">
        <f t="shared" si="112"/>
        <v>0</v>
      </c>
      <c r="BR160" s="50">
        <f t="shared" si="112"/>
        <v>620</v>
      </c>
      <c r="BS160" s="50">
        <f t="shared" si="112"/>
        <v>2266.91</v>
      </c>
      <c r="BT160" s="50">
        <f t="shared" ref="BT160:CA160" si="113">SUM(BT8:BT159)</f>
        <v>0</v>
      </c>
      <c r="BU160" s="50">
        <f t="shared" si="113"/>
        <v>0</v>
      </c>
      <c r="BV160" s="50">
        <f t="shared" si="113"/>
        <v>0</v>
      </c>
      <c r="BW160" s="50">
        <f t="shared" si="113"/>
        <v>11337.788199999999</v>
      </c>
      <c r="BX160" s="50"/>
      <c r="BY160" s="50"/>
      <c r="BZ160" s="50"/>
      <c r="CA160" s="50">
        <f t="shared" si="113"/>
        <v>0</v>
      </c>
      <c r="CB160" s="54">
        <f t="shared" si="88"/>
        <v>200380.59036000009</v>
      </c>
    </row>
    <row r="161" spans="1:80">
      <c r="A161" s="47">
        <v>154</v>
      </c>
      <c r="B161" s="47" t="s">
        <v>288</v>
      </c>
      <c r="C161" s="47"/>
      <c r="D161" s="49" t="s">
        <v>289</v>
      </c>
      <c r="E161" s="49"/>
      <c r="F161" s="50">
        <f t="shared" si="89"/>
        <v>0</v>
      </c>
      <c r="G161" s="50"/>
      <c r="H161" s="50"/>
      <c r="I161" s="50"/>
      <c r="J161" s="50"/>
      <c r="K161" s="50"/>
      <c r="L161" s="50"/>
      <c r="M161" s="50"/>
      <c r="N161" s="50"/>
      <c r="O161" s="50">
        <f t="shared" si="90"/>
        <v>0</v>
      </c>
      <c r="P161" s="51">
        <f>Q161+BC161+BI161</f>
        <v>2966.0520000000001</v>
      </c>
      <c r="Q161" s="51">
        <f>U161+V161+AB161+AH161+AI161+AJ161+AL161+AM161+AR161+AS161+AX161+AY161+AZ161</f>
        <v>1870</v>
      </c>
      <c r="R161" s="47">
        <f t="shared" si="91"/>
        <v>0</v>
      </c>
      <c r="S161" s="51"/>
      <c r="T161" s="51"/>
      <c r="U161" s="47">
        <f t="shared" si="92"/>
        <v>0</v>
      </c>
      <c r="V161" s="51">
        <f t="shared" ref="V161:V163" si="114">SUM(W161:AA161)</f>
        <v>100</v>
      </c>
      <c r="W161" s="47">
        <f t="shared" si="93"/>
        <v>0</v>
      </c>
      <c r="X161" s="47"/>
      <c r="Y161" s="47">
        <v>100</v>
      </c>
      <c r="Z161" s="47"/>
      <c r="AA161" s="47"/>
      <c r="AB161" s="51">
        <f>SUM(AC161:AF161)</f>
        <v>200</v>
      </c>
      <c r="AC161" s="47">
        <f t="shared" si="94"/>
        <v>0</v>
      </c>
      <c r="AD161" s="47"/>
      <c r="AE161" s="47">
        <v>200</v>
      </c>
      <c r="AF161" s="47">
        <f t="shared" si="110"/>
        <v>0</v>
      </c>
      <c r="AG161" s="47"/>
      <c r="AH161" s="47"/>
      <c r="AI161" s="47">
        <f t="shared" si="95"/>
        <v>0</v>
      </c>
      <c r="AJ161" s="53"/>
      <c r="AK161" s="53"/>
      <c r="AL161" s="47"/>
      <c r="AM161" s="47">
        <f t="shared" si="104"/>
        <v>0</v>
      </c>
      <c r="AN161" s="47"/>
      <c r="AO161" s="47"/>
      <c r="AP161" s="47"/>
      <c r="AQ161" s="47"/>
      <c r="AR161" s="47"/>
      <c r="AS161" s="47">
        <f t="shared" si="108"/>
        <v>0</v>
      </c>
      <c r="AT161" s="47"/>
      <c r="AU161" s="47"/>
      <c r="AV161" s="47"/>
      <c r="AW161" s="47"/>
      <c r="AX161" s="47"/>
      <c r="AY161" s="47">
        <v>500</v>
      </c>
      <c r="AZ161" s="47">
        <v>1070</v>
      </c>
      <c r="BA161" s="54"/>
      <c r="BB161" s="49" t="s">
        <v>289</v>
      </c>
      <c r="BC161" s="51">
        <f t="shared" si="101"/>
        <v>347.61200000000002</v>
      </c>
      <c r="BD161" s="57"/>
      <c r="BE161" s="47">
        <f t="shared" si="102"/>
        <v>0</v>
      </c>
      <c r="BF161" s="47"/>
      <c r="BG161" s="47">
        <v>347.61200000000002</v>
      </c>
      <c r="BH161" s="47"/>
      <c r="BI161" s="51">
        <f>BJ161+BN161+BO161+BP161+BQ161+BS161+BT161+BU161+BV161+BW161+BR161</f>
        <v>748.44</v>
      </c>
      <c r="BJ161" s="51">
        <f>BK161+BM161</f>
        <v>58.44</v>
      </c>
      <c r="BK161" s="47">
        <v>58.44</v>
      </c>
      <c r="BL161" s="47"/>
      <c r="BM161" s="47"/>
      <c r="BN161" s="47"/>
      <c r="BO161" s="47"/>
      <c r="BP161" s="47"/>
      <c r="BQ161" s="47"/>
      <c r="BR161" s="47"/>
      <c r="BS161" s="53"/>
      <c r="BT161" s="47">
        <f>100+56</f>
        <v>156</v>
      </c>
      <c r="BU161" s="47"/>
      <c r="BV161" s="47"/>
      <c r="BW161" s="47">
        <f>590-56</f>
        <v>534</v>
      </c>
      <c r="BX161" s="47"/>
      <c r="BY161" s="47"/>
      <c r="BZ161" s="47"/>
      <c r="CA161" s="47"/>
      <c r="CB161" s="54">
        <f t="shared" si="88"/>
        <v>2966.0520000000001</v>
      </c>
    </row>
    <row r="162" spans="1:80">
      <c r="A162" s="47">
        <v>155</v>
      </c>
      <c r="B162" s="47" t="s">
        <v>288</v>
      </c>
      <c r="C162" s="47"/>
      <c r="D162" s="49" t="s">
        <v>290</v>
      </c>
      <c r="E162" s="49"/>
      <c r="F162" s="50">
        <f t="shared" si="89"/>
        <v>0</v>
      </c>
      <c r="G162" s="50"/>
      <c r="H162" s="50"/>
      <c r="I162" s="50"/>
      <c r="J162" s="50"/>
      <c r="K162" s="50"/>
      <c r="L162" s="50"/>
      <c r="M162" s="50"/>
      <c r="N162" s="50"/>
      <c r="O162" s="50">
        <f t="shared" si="90"/>
        <v>0</v>
      </c>
      <c r="P162" s="51">
        <f>Q162+BC162+BI162</f>
        <v>7931</v>
      </c>
      <c r="Q162" s="51">
        <f>U162+V162+AB162+AH162+AI162+AJ162+AL162+AM162+AR162+AS162+AX162+AY162+AZ162</f>
        <v>7908</v>
      </c>
      <c r="R162" s="47">
        <f t="shared" si="91"/>
        <v>0</v>
      </c>
      <c r="S162" s="51"/>
      <c r="T162" s="51"/>
      <c r="U162" s="47">
        <f t="shared" si="92"/>
        <v>0</v>
      </c>
      <c r="V162" s="51">
        <f t="shared" si="114"/>
        <v>0</v>
      </c>
      <c r="W162" s="47">
        <f t="shared" si="93"/>
        <v>0</v>
      </c>
      <c r="X162" s="47"/>
      <c r="Y162" s="47"/>
      <c r="Z162" s="47"/>
      <c r="AA162" s="47"/>
      <c r="AB162" s="51">
        <f>SUM(AC162:AF162)</f>
        <v>0</v>
      </c>
      <c r="AC162" s="47">
        <f t="shared" si="94"/>
        <v>0</v>
      </c>
      <c r="AD162" s="47"/>
      <c r="AE162" s="47"/>
      <c r="AF162" s="47">
        <f t="shared" si="110"/>
        <v>0</v>
      </c>
      <c r="AG162" s="47"/>
      <c r="AH162" s="47"/>
      <c r="AI162" s="47">
        <f t="shared" si="95"/>
        <v>0</v>
      </c>
      <c r="AJ162" s="53">
        <f t="shared" si="103"/>
        <v>0</v>
      </c>
      <c r="AK162" s="53"/>
      <c r="AL162" s="47"/>
      <c r="AM162" s="47">
        <f t="shared" si="104"/>
        <v>0</v>
      </c>
      <c r="AN162" s="47"/>
      <c r="AO162" s="47"/>
      <c r="AP162" s="47"/>
      <c r="AQ162" s="47"/>
      <c r="AR162" s="47"/>
      <c r="AS162" s="47">
        <f t="shared" si="108"/>
        <v>0</v>
      </c>
      <c r="AT162" s="47"/>
      <c r="AU162" s="47"/>
      <c r="AV162" s="47"/>
      <c r="AW162" s="47"/>
      <c r="AX162" s="47">
        <f t="shared" si="106"/>
        <v>0</v>
      </c>
      <c r="AY162" s="47"/>
      <c r="AZ162" s="47">
        <v>7908</v>
      </c>
      <c r="BA162" s="54"/>
      <c r="BB162" s="49" t="s">
        <v>290</v>
      </c>
      <c r="BC162" s="51">
        <f t="shared" si="101"/>
        <v>0</v>
      </c>
      <c r="BD162" s="57"/>
      <c r="BE162" s="47">
        <f t="shared" si="102"/>
        <v>0</v>
      </c>
      <c r="BF162" s="47"/>
      <c r="BG162" s="47"/>
      <c r="BH162" s="47"/>
      <c r="BI162" s="51">
        <f>BJ162+BN162+BO162+BP162+BQ162+BS162+BT162+BU162+BV162+BW162+BR162</f>
        <v>23</v>
      </c>
      <c r="BJ162" s="51">
        <f>BK162+BM162</f>
        <v>0</v>
      </c>
      <c r="BK162" s="47"/>
      <c r="BL162" s="47"/>
      <c r="BM162" s="47"/>
      <c r="BN162" s="47"/>
      <c r="BO162" s="47"/>
      <c r="BP162" s="47"/>
      <c r="BQ162" s="47"/>
      <c r="BR162" s="47"/>
      <c r="BS162" s="53"/>
      <c r="BT162" s="47"/>
      <c r="BU162" s="47"/>
      <c r="BV162" s="47"/>
      <c r="BW162" s="47">
        <v>23</v>
      </c>
      <c r="BX162" s="47"/>
      <c r="BY162" s="47"/>
      <c r="BZ162" s="47"/>
      <c r="CA162" s="47"/>
      <c r="CB162" s="54">
        <f t="shared" si="88"/>
        <v>7931</v>
      </c>
    </row>
    <row r="163" spans="1:80" s="81" customFormat="1">
      <c r="A163" s="47">
        <v>156</v>
      </c>
      <c r="B163" s="47" t="s">
        <v>288</v>
      </c>
      <c r="C163" s="47"/>
      <c r="D163" s="80" t="s">
        <v>291</v>
      </c>
      <c r="E163" s="80"/>
      <c r="F163" s="50">
        <f t="shared" si="89"/>
        <v>12</v>
      </c>
      <c r="G163" s="50"/>
      <c r="H163" s="50"/>
      <c r="I163" s="50">
        <v>12</v>
      </c>
      <c r="J163" s="50"/>
      <c r="K163" s="50"/>
      <c r="L163" s="50">
        <f>462+168+847</f>
        <v>1477</v>
      </c>
      <c r="M163" s="50"/>
      <c r="N163" s="50">
        <f>153+113+372+2+8</f>
        <v>648</v>
      </c>
      <c r="O163" s="50">
        <f t="shared" si="90"/>
        <v>2137</v>
      </c>
      <c r="P163" s="51">
        <f>Q163+BC163+BI163</f>
        <v>48396.598000000005</v>
      </c>
      <c r="Q163" s="51">
        <f>U163+V163+AB163+AH163+AI163+AJ163+AL163+AM163+AR163+AS163+AX163+AY163+AZ163</f>
        <v>19028</v>
      </c>
      <c r="R163" s="47">
        <f t="shared" si="91"/>
        <v>3500000</v>
      </c>
      <c r="S163" s="51">
        <v>1000000</v>
      </c>
      <c r="T163" s="51">
        <v>2500000</v>
      </c>
      <c r="U163" s="47">
        <v>3200</v>
      </c>
      <c r="V163" s="51">
        <f t="shared" si="114"/>
        <v>1550</v>
      </c>
      <c r="W163" s="47">
        <v>850</v>
      </c>
      <c r="X163" s="47">
        <v>200</v>
      </c>
      <c r="Y163" s="47"/>
      <c r="Z163" s="47">
        <v>500</v>
      </c>
      <c r="AA163" s="47"/>
      <c r="AB163" s="51">
        <f>SUM(AC163:AF163)</f>
        <v>5268</v>
      </c>
      <c r="AC163" s="47">
        <f t="shared" si="94"/>
        <v>100</v>
      </c>
      <c r="AD163" s="47">
        <f>100+368</f>
        <v>468</v>
      </c>
      <c r="AE163" s="47"/>
      <c r="AF163" s="47">
        <v>4700</v>
      </c>
      <c r="AG163" s="47">
        <f>17667*F163/12</f>
        <v>17667</v>
      </c>
      <c r="AH163" s="47"/>
      <c r="AI163" s="47">
        <v>4000</v>
      </c>
      <c r="AJ163" s="53">
        <v>1500</v>
      </c>
      <c r="AK163" s="53"/>
      <c r="AL163" s="47">
        <v>1500</v>
      </c>
      <c r="AM163" s="47">
        <v>650</v>
      </c>
      <c r="AN163" s="47"/>
      <c r="AO163" s="47"/>
      <c r="AP163" s="47"/>
      <c r="AQ163" s="47"/>
      <c r="AR163" s="47"/>
      <c r="AS163" s="47">
        <f>110+100</f>
        <v>210</v>
      </c>
      <c r="AT163" s="47">
        <v>60</v>
      </c>
      <c r="AU163" s="47"/>
      <c r="AV163" s="47">
        <v>50</v>
      </c>
      <c r="AW163" s="47"/>
      <c r="AX163" s="47">
        <v>950</v>
      </c>
      <c r="AY163" s="47"/>
      <c r="AZ163" s="47">
        <f>200</f>
        <v>200</v>
      </c>
      <c r="BA163" s="47"/>
      <c r="BB163" s="80" t="s">
        <v>291</v>
      </c>
      <c r="BC163" s="51">
        <f t="shared" si="101"/>
        <v>9993.58</v>
      </c>
      <c r="BD163" s="47">
        <v>300</v>
      </c>
      <c r="BE163" s="47">
        <f>200-10.92</f>
        <v>189.08</v>
      </c>
      <c r="BF163" s="47"/>
      <c r="BG163" s="47">
        <v>4500</v>
      </c>
      <c r="BH163" s="47">
        <v>5004.5</v>
      </c>
      <c r="BI163" s="51">
        <f>BJ163+BN163+BO163+BP163+BQ163+BS163+BT163+BU163+BV163+BW163+BR163</f>
        <v>19375.018000000004</v>
      </c>
      <c r="BJ163" s="51">
        <f>BK163+BM163+BL163</f>
        <v>11179.69</v>
      </c>
      <c r="BK163" s="47">
        <f>134.69+45</f>
        <v>179.69</v>
      </c>
      <c r="BL163" s="47">
        <f>5500+2500</f>
        <v>8000</v>
      </c>
      <c r="BM163" s="47">
        <v>3000</v>
      </c>
      <c r="BN163" s="47">
        <v>20</v>
      </c>
      <c r="BO163" s="47">
        <v>800</v>
      </c>
      <c r="BP163" s="47">
        <v>150.34800000000001</v>
      </c>
      <c r="BQ163" s="47"/>
      <c r="BR163" s="47">
        <f>50+1638.4</f>
        <v>1688.4</v>
      </c>
      <c r="BS163" s="53"/>
      <c r="BT163" s="47">
        <v>800</v>
      </c>
      <c r="BU163" s="47"/>
      <c r="BV163" s="47">
        <v>200</v>
      </c>
      <c r="BW163" s="47">
        <f>295+300+193.33+25+54+24.25+875+2770</f>
        <v>4536.58</v>
      </c>
      <c r="BX163" s="47"/>
      <c r="BY163" s="47"/>
      <c r="BZ163" s="47"/>
      <c r="CA163" s="47"/>
      <c r="CB163" s="54">
        <f t="shared" si="88"/>
        <v>48396.598000000005</v>
      </c>
    </row>
    <row r="164" spans="1:80">
      <c r="A164" s="82"/>
      <c r="B164" s="83"/>
      <c r="C164" s="83"/>
      <c r="D164" s="84" t="s">
        <v>72</v>
      </c>
      <c r="E164" s="84"/>
      <c r="F164" s="83">
        <f>F160+F161+F162+F163</f>
        <v>12109</v>
      </c>
      <c r="G164" s="83">
        <f t="shared" ref="G164:BR164" si="115">G160+G161+G162+G163</f>
        <v>2205</v>
      </c>
      <c r="H164" s="83">
        <f t="shared" si="115"/>
        <v>311</v>
      </c>
      <c r="I164" s="83">
        <f t="shared" si="115"/>
        <v>8920</v>
      </c>
      <c r="J164" s="83">
        <f t="shared" si="115"/>
        <v>496</v>
      </c>
      <c r="K164" s="83">
        <f t="shared" si="115"/>
        <v>177</v>
      </c>
      <c r="L164" s="83">
        <f t="shared" si="115"/>
        <v>1676</v>
      </c>
      <c r="M164" s="83">
        <f t="shared" si="115"/>
        <v>9</v>
      </c>
      <c r="N164" s="83">
        <f t="shared" si="115"/>
        <v>6823</v>
      </c>
      <c r="O164" s="83">
        <f t="shared" si="115"/>
        <v>20617</v>
      </c>
      <c r="P164" s="83">
        <f t="shared" si="115"/>
        <v>259674.24036000008</v>
      </c>
      <c r="Q164" s="83">
        <f t="shared" si="115"/>
        <v>179796.24252000003</v>
      </c>
      <c r="R164" s="83">
        <f t="shared" si="115"/>
        <v>47782384</v>
      </c>
      <c r="S164" s="83">
        <f t="shared" si="115"/>
        <v>10106447.199999999</v>
      </c>
      <c r="T164" s="83">
        <f t="shared" si="115"/>
        <v>37675936.799999997</v>
      </c>
      <c r="U164" s="83">
        <f t="shared" si="115"/>
        <v>56178.880220000006</v>
      </c>
      <c r="V164" s="83">
        <f t="shared" si="115"/>
        <v>17609.066599999998</v>
      </c>
      <c r="W164" s="83">
        <f t="shared" si="115"/>
        <v>6511</v>
      </c>
      <c r="X164" s="83">
        <f t="shared" si="115"/>
        <v>6999.0780000000013</v>
      </c>
      <c r="Y164" s="83">
        <f t="shared" si="115"/>
        <v>2324.7200000000003</v>
      </c>
      <c r="Z164" s="83">
        <f t="shared" si="115"/>
        <v>500</v>
      </c>
      <c r="AA164" s="83">
        <f t="shared" si="115"/>
        <v>1274.2685999999999</v>
      </c>
      <c r="AB164" s="83">
        <f t="shared" si="115"/>
        <v>20732.750100000005</v>
      </c>
      <c r="AC164" s="83">
        <f t="shared" si="115"/>
        <v>973.61570000000017</v>
      </c>
      <c r="AD164" s="83">
        <f t="shared" si="115"/>
        <v>1037.6999999999998</v>
      </c>
      <c r="AE164" s="83">
        <f t="shared" si="115"/>
        <v>5953.16</v>
      </c>
      <c r="AF164" s="83">
        <f t="shared" si="115"/>
        <v>12768.2744</v>
      </c>
      <c r="AG164" s="83">
        <f t="shared" si="115"/>
        <v>11009629</v>
      </c>
      <c r="AH164" s="83">
        <f t="shared" si="115"/>
        <v>0</v>
      </c>
      <c r="AI164" s="83">
        <f t="shared" si="115"/>
        <v>28894.044000000005</v>
      </c>
      <c r="AJ164" s="83">
        <f t="shared" si="115"/>
        <v>17217.365400000006</v>
      </c>
      <c r="AK164" s="83">
        <f t="shared" si="115"/>
        <v>157183072</v>
      </c>
      <c r="AL164" s="83">
        <f t="shared" si="115"/>
        <v>1582.8355999999999</v>
      </c>
      <c r="AM164" s="83">
        <f t="shared" si="115"/>
        <v>7894.7151999999987</v>
      </c>
      <c r="AN164" s="83">
        <f t="shared" si="115"/>
        <v>6819.9453999999996</v>
      </c>
      <c r="AO164" s="83">
        <f t="shared" si="115"/>
        <v>68203011</v>
      </c>
      <c r="AP164" s="83">
        <f t="shared" si="115"/>
        <v>420.85510000000005</v>
      </c>
      <c r="AQ164" s="83">
        <f t="shared" si="115"/>
        <v>4208773</v>
      </c>
      <c r="AR164" s="83">
        <f t="shared" si="115"/>
        <v>0</v>
      </c>
      <c r="AS164" s="83">
        <f t="shared" si="115"/>
        <v>1327.2114999999999</v>
      </c>
      <c r="AT164" s="83">
        <f t="shared" si="115"/>
        <v>704.13530000000026</v>
      </c>
      <c r="AU164" s="83">
        <f t="shared" si="115"/>
        <v>6441620</v>
      </c>
      <c r="AV164" s="83">
        <f t="shared" si="115"/>
        <v>523.07560000000001</v>
      </c>
      <c r="AW164" s="83">
        <f t="shared" si="115"/>
        <v>4731067</v>
      </c>
      <c r="AX164" s="83">
        <f t="shared" si="115"/>
        <v>12738.023899999998</v>
      </c>
      <c r="AY164" s="83">
        <f t="shared" si="115"/>
        <v>500</v>
      </c>
      <c r="AZ164" s="83">
        <f t="shared" si="115"/>
        <v>15121.35</v>
      </c>
      <c r="BA164" s="83">
        <f t="shared" si="115"/>
        <v>1.5099999999999964E-2</v>
      </c>
      <c r="BB164" s="83" t="s">
        <v>72</v>
      </c>
      <c r="BC164" s="83">
        <f>BC160+BC161+BC162+BC163</f>
        <v>44463.162000000004</v>
      </c>
      <c r="BD164" s="83">
        <f t="shared" si="115"/>
        <v>7175.7400000000007</v>
      </c>
      <c r="BE164" s="83">
        <f t="shared" si="115"/>
        <v>2123.36</v>
      </c>
      <c r="BF164" s="83">
        <f t="shared" si="115"/>
        <v>1611900</v>
      </c>
      <c r="BG164" s="83">
        <f t="shared" si="115"/>
        <v>23775.662000000004</v>
      </c>
      <c r="BH164" s="83">
        <f t="shared" si="115"/>
        <v>11388.4</v>
      </c>
      <c r="BI164" s="83">
        <f t="shared" si="115"/>
        <v>35414.83584</v>
      </c>
      <c r="BJ164" s="83">
        <f t="shared" si="115"/>
        <v>11427.08404</v>
      </c>
      <c r="BK164" s="83">
        <f t="shared" si="115"/>
        <v>391.09399999999999</v>
      </c>
      <c r="BL164" s="83">
        <f t="shared" si="115"/>
        <v>8035.9900399999997</v>
      </c>
      <c r="BM164" s="83">
        <f t="shared" si="115"/>
        <v>3000</v>
      </c>
      <c r="BN164" s="83">
        <f t="shared" si="115"/>
        <v>20</v>
      </c>
      <c r="BO164" s="83">
        <f t="shared" si="115"/>
        <v>800</v>
      </c>
      <c r="BP164" s="83">
        <f t="shared" si="115"/>
        <v>1005.0736000000002</v>
      </c>
      <c r="BQ164" s="83">
        <f t="shared" si="115"/>
        <v>0</v>
      </c>
      <c r="BR164" s="83">
        <f t="shared" si="115"/>
        <v>2308.4</v>
      </c>
      <c r="BS164" s="83">
        <f t="shared" ref="BS164:CB164" si="116">BS160+BS161+BS162+BS163</f>
        <v>2266.91</v>
      </c>
      <c r="BT164" s="83">
        <f t="shared" si="116"/>
        <v>956</v>
      </c>
      <c r="BU164" s="83">
        <f t="shared" si="116"/>
        <v>0</v>
      </c>
      <c r="BV164" s="83">
        <f t="shared" si="116"/>
        <v>200</v>
      </c>
      <c r="BW164" s="83">
        <f t="shared" si="116"/>
        <v>16431.368199999997</v>
      </c>
      <c r="BX164" s="83">
        <f t="shared" si="116"/>
        <v>0</v>
      </c>
      <c r="BY164" s="83">
        <f t="shared" si="116"/>
        <v>0</v>
      </c>
      <c r="BZ164" s="83"/>
      <c r="CA164" s="83">
        <f t="shared" si="116"/>
        <v>0</v>
      </c>
      <c r="CB164" s="83">
        <f t="shared" si="116"/>
        <v>259674.24036000008</v>
      </c>
    </row>
  </sheetData>
  <autoFilter ref="A6:CB164"/>
  <mergeCells count="60">
    <mergeCell ref="M3:M6"/>
    <mergeCell ref="A1:AZ1"/>
    <mergeCell ref="BB1:CB1"/>
    <mergeCell ref="A2:D2"/>
    <mergeCell ref="AS2:AZ2"/>
    <mergeCell ref="BX2:CB2"/>
    <mergeCell ref="A3:A6"/>
    <mergeCell ref="B3:B6"/>
    <mergeCell ref="D3:D6"/>
    <mergeCell ref="F3:F6"/>
    <mergeCell ref="L3:L6"/>
    <mergeCell ref="CB3:CB6"/>
    <mergeCell ref="N3:N6"/>
    <mergeCell ref="O3:O6"/>
    <mergeCell ref="P3:BW3"/>
    <mergeCell ref="BX3:BX6"/>
    <mergeCell ref="P4:P6"/>
    <mergeCell ref="Q4:AZ4"/>
    <mergeCell ref="BB4:BB6"/>
    <mergeCell ref="BC4:BG4"/>
    <mergeCell ref="BI4:BW4"/>
    <mergeCell ref="Q5:Q6"/>
    <mergeCell ref="R5:R6"/>
    <mergeCell ref="S5:S6"/>
    <mergeCell ref="T5:T6"/>
    <mergeCell ref="U5:U6"/>
    <mergeCell ref="V5:AA5"/>
    <mergeCell ref="AB5:AB6"/>
    <mergeCell ref="AG5:AG6"/>
    <mergeCell ref="AH5:AH6"/>
    <mergeCell ref="BF5:BF6"/>
    <mergeCell ref="BG5:BG6"/>
    <mergeCell ref="BI5:BI6"/>
    <mergeCell ref="BJ5:BM5"/>
    <mergeCell ref="BN5:BN6"/>
    <mergeCell ref="AS5:AS6"/>
    <mergeCell ref="BZ3:BZ6"/>
    <mergeCell ref="BO5:BO6"/>
    <mergeCell ref="BP5:BP6"/>
    <mergeCell ref="BQ5:BQ6"/>
    <mergeCell ref="BR5:BR6"/>
    <mergeCell ref="BS5:BS6"/>
    <mergeCell ref="BT5:BT6"/>
    <mergeCell ref="BY3:BY6"/>
    <mergeCell ref="CA3:CA6"/>
    <mergeCell ref="AI5:AI6"/>
    <mergeCell ref="AJ5:AJ6"/>
    <mergeCell ref="AL5:AL6"/>
    <mergeCell ref="AM5:AM6"/>
    <mergeCell ref="AR5:AR6"/>
    <mergeCell ref="AX5:AX6"/>
    <mergeCell ref="AY5:AY6"/>
    <mergeCell ref="BU5:BU6"/>
    <mergeCell ref="BV5:BV6"/>
    <mergeCell ref="BW5:BW6"/>
    <mergeCell ref="AZ5:AZ6"/>
    <mergeCell ref="BC5:BC6"/>
    <mergeCell ref="BD5:BD6"/>
    <mergeCell ref="BE5:BE6"/>
    <mergeCell ref="BH5:BH6"/>
  </mergeCells>
  <phoneticPr fontId="2" type="noConversion"/>
  <printOptions horizontalCentered="1"/>
  <pageMargins left="0.118110236220472" right="0.118110236220472" top="0.70866141732283505" bottom="0.27559055118110198" header="0.31496062992126" footer="0.118110236220472"/>
  <pageSetup paperSize="9" pageOrder="overThenDown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showZeros="0" workbookViewId="0">
      <selection activeCell="O18" sqref="O18"/>
    </sheetView>
  </sheetViews>
  <sheetFormatPr defaultColWidth="9" defaultRowHeight="14.25"/>
  <cols>
    <col min="1" max="1" width="29.125" style="127" customWidth="1"/>
    <col min="2" max="2" width="6.75" style="128" customWidth="1"/>
    <col min="3" max="3" width="10.25" style="128" customWidth="1"/>
    <col min="4" max="4" width="5.875" style="128" customWidth="1"/>
    <col min="5" max="5" width="6.375" style="128" customWidth="1"/>
    <col min="6" max="6" width="8.5" style="128" customWidth="1"/>
    <col min="7" max="7" width="13.5" style="128" customWidth="1"/>
    <col min="8" max="8" width="18.25" style="127" customWidth="1"/>
    <col min="9" max="9" width="7.5" style="128" customWidth="1"/>
    <col min="10" max="10" width="7" style="128" customWidth="1"/>
    <col min="11" max="11" width="6.875" style="128" customWidth="1"/>
    <col min="12" max="12" width="11.5" style="127" customWidth="1"/>
    <col min="13" max="16384" width="9" style="127"/>
  </cols>
  <sheetData>
    <row r="1" spans="1:12" s="81" customFormat="1" ht="27.75" customHeight="1">
      <c r="A1" s="238" t="s">
        <v>429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s="81" customFormat="1" ht="16.5" customHeight="1">
      <c r="A2" s="81" t="s">
        <v>294</v>
      </c>
      <c r="B2" s="88"/>
      <c r="C2" s="88"/>
      <c r="D2" s="88"/>
      <c r="E2" s="88"/>
      <c r="F2" s="88"/>
      <c r="G2" s="88"/>
      <c r="H2" s="89"/>
      <c r="I2" s="88"/>
      <c r="J2" s="88"/>
      <c r="K2" s="88"/>
      <c r="L2" s="90" t="s">
        <v>9</v>
      </c>
    </row>
    <row r="3" spans="1:12" s="81" customFormat="1" ht="16.5" customHeight="1">
      <c r="A3" s="239" t="s">
        <v>295</v>
      </c>
      <c r="B3" s="240"/>
      <c r="C3" s="240"/>
      <c r="D3" s="240"/>
      <c r="E3" s="240"/>
      <c r="F3" s="240"/>
      <c r="G3" s="241"/>
      <c r="H3" s="242" t="s">
        <v>296</v>
      </c>
      <c r="I3" s="242"/>
      <c r="J3" s="242"/>
      <c r="K3" s="242"/>
      <c r="L3" s="242"/>
    </row>
    <row r="4" spans="1:12" s="81" customFormat="1" ht="16.5" customHeight="1">
      <c r="A4" s="91" t="s">
        <v>297</v>
      </c>
      <c r="B4" s="92" t="s">
        <v>298</v>
      </c>
      <c r="C4" s="92" t="s">
        <v>299</v>
      </c>
      <c r="D4" s="92" t="s">
        <v>300</v>
      </c>
      <c r="E4" s="92" t="s">
        <v>301</v>
      </c>
      <c r="F4" s="92" t="s">
        <v>72</v>
      </c>
      <c r="G4" s="93" t="s">
        <v>302</v>
      </c>
      <c r="H4" s="91" t="s">
        <v>297</v>
      </c>
      <c r="I4" s="94" t="s">
        <v>298</v>
      </c>
      <c r="J4" s="94" t="s">
        <v>303</v>
      </c>
      <c r="K4" s="94" t="s">
        <v>72</v>
      </c>
      <c r="L4" s="91" t="s">
        <v>302</v>
      </c>
    </row>
    <row r="5" spans="1:12" s="81" customFormat="1" ht="16.5" customHeight="1">
      <c r="A5" s="243" t="s">
        <v>304</v>
      </c>
      <c r="B5" s="232">
        <v>95928</v>
      </c>
      <c r="C5" s="235"/>
      <c r="D5" s="235"/>
      <c r="E5" s="235">
        <f>C10+D10</f>
        <v>0</v>
      </c>
      <c r="F5" s="235">
        <f>B5+E5</f>
        <v>95928</v>
      </c>
      <c r="G5" s="246"/>
      <c r="H5" s="95" t="s">
        <v>305</v>
      </c>
      <c r="I5" s="96">
        <v>56179</v>
      </c>
      <c r="J5" s="94"/>
      <c r="K5" s="97">
        <f t="shared" ref="K5:K47" si="0">SUM(I5:J5)</f>
        <v>56179</v>
      </c>
      <c r="L5" s="91"/>
    </row>
    <row r="6" spans="1:12" s="81" customFormat="1" ht="16.5" customHeight="1">
      <c r="A6" s="244"/>
      <c r="B6" s="233"/>
      <c r="C6" s="236"/>
      <c r="D6" s="236"/>
      <c r="E6" s="236"/>
      <c r="F6" s="236"/>
      <c r="G6" s="247"/>
      <c r="H6" s="95" t="s">
        <v>306</v>
      </c>
      <c r="I6" s="96">
        <v>6511</v>
      </c>
      <c r="J6" s="94"/>
      <c r="K6" s="97">
        <f t="shared" si="0"/>
        <v>6511</v>
      </c>
      <c r="L6" s="91"/>
    </row>
    <row r="7" spans="1:12" s="81" customFormat="1" ht="16.5" customHeight="1">
      <c r="A7" s="244"/>
      <c r="B7" s="233"/>
      <c r="C7" s="236"/>
      <c r="D7" s="236"/>
      <c r="E7" s="236"/>
      <c r="F7" s="236"/>
      <c r="G7" s="247"/>
      <c r="H7" s="95" t="s">
        <v>307</v>
      </c>
      <c r="I7" s="96">
        <f>9435-29-57</f>
        <v>9349</v>
      </c>
      <c r="J7" s="94"/>
      <c r="K7" s="97">
        <f t="shared" si="0"/>
        <v>9349</v>
      </c>
      <c r="L7" s="91"/>
    </row>
    <row r="8" spans="1:12" s="81" customFormat="1" ht="16.5" customHeight="1">
      <c r="A8" s="244"/>
      <c r="B8" s="233"/>
      <c r="C8" s="236"/>
      <c r="D8" s="236"/>
      <c r="E8" s="236"/>
      <c r="F8" s="236"/>
      <c r="G8" s="247"/>
      <c r="H8" s="95" t="s">
        <v>308</v>
      </c>
      <c r="I8" s="96">
        <v>7889</v>
      </c>
      <c r="J8" s="94"/>
      <c r="K8" s="97">
        <f t="shared" si="0"/>
        <v>7889</v>
      </c>
      <c r="L8" s="91"/>
    </row>
    <row r="9" spans="1:12" s="81" customFormat="1" ht="16.5" customHeight="1">
      <c r="A9" s="244"/>
      <c r="B9" s="233"/>
      <c r="C9" s="236"/>
      <c r="D9" s="236"/>
      <c r="E9" s="236"/>
      <c r="F9" s="236"/>
      <c r="G9" s="247"/>
      <c r="H9" s="95" t="s">
        <v>309</v>
      </c>
      <c r="I9" s="96">
        <v>16000</v>
      </c>
      <c r="J9" s="94"/>
      <c r="K9" s="97">
        <f t="shared" si="0"/>
        <v>16000</v>
      </c>
      <c r="L9" s="91"/>
    </row>
    <row r="10" spans="1:12" s="81" customFormat="1" ht="16.5" customHeight="1">
      <c r="A10" s="245"/>
      <c r="B10" s="234"/>
      <c r="C10" s="237"/>
      <c r="D10" s="237"/>
      <c r="E10" s="237"/>
      <c r="F10" s="237"/>
      <c r="G10" s="248"/>
      <c r="H10" s="98" t="s">
        <v>310</v>
      </c>
      <c r="I10" s="99">
        <f>B5</f>
        <v>95928</v>
      </c>
      <c r="J10" s="100"/>
      <c r="K10" s="101">
        <f t="shared" si="0"/>
        <v>95928</v>
      </c>
      <c r="L10" s="98"/>
    </row>
    <row r="11" spans="1:12" s="81" customFormat="1" ht="16.5" customHeight="1">
      <c r="A11" s="102" t="s">
        <v>311</v>
      </c>
      <c r="B11" s="103">
        <f>B12+B13+B52</f>
        <v>193364</v>
      </c>
      <c r="C11" s="104">
        <f>C12+C13+C52</f>
        <v>91337</v>
      </c>
      <c r="D11" s="104">
        <f>D12+D13+D52</f>
        <v>120489</v>
      </c>
      <c r="E11" s="104">
        <f t="shared" ref="E11:E91" si="1">C11+D11</f>
        <v>211826</v>
      </c>
      <c r="F11" s="104">
        <f t="shared" ref="F11:F91" si="2">B11+E11</f>
        <v>405190</v>
      </c>
      <c r="G11" s="96"/>
      <c r="H11" s="47" t="s">
        <v>312</v>
      </c>
      <c r="I11" s="96">
        <f>SUM(I12:I19)</f>
        <v>107757</v>
      </c>
      <c r="J11" s="47"/>
      <c r="K11" s="97">
        <f t="shared" si="0"/>
        <v>107757</v>
      </c>
      <c r="L11" s="47"/>
    </row>
    <row r="12" spans="1:12" s="81" customFormat="1" ht="16.5" customHeight="1">
      <c r="A12" s="47" t="s">
        <v>313</v>
      </c>
      <c r="B12" s="105">
        <f>5600-807</f>
        <v>4793</v>
      </c>
      <c r="C12" s="96"/>
      <c r="D12" s="96">
        <v>807</v>
      </c>
      <c r="E12" s="96">
        <f t="shared" si="1"/>
        <v>807</v>
      </c>
      <c r="F12" s="96">
        <f t="shared" si="2"/>
        <v>5600</v>
      </c>
      <c r="G12" s="96"/>
      <c r="H12" s="47" t="s">
        <v>314</v>
      </c>
      <c r="I12" s="91">
        <v>6999</v>
      </c>
      <c r="J12" s="47"/>
      <c r="K12" s="97">
        <f t="shared" si="0"/>
        <v>6999</v>
      </c>
      <c r="L12" s="47"/>
    </row>
    <row r="13" spans="1:12" s="81" customFormat="1" ht="16.5" customHeight="1">
      <c r="A13" s="47" t="s">
        <v>315</v>
      </c>
      <c r="B13" s="105">
        <f>SUM(B14:B51)</f>
        <v>188571</v>
      </c>
      <c r="C13" s="96">
        <f>SUM(C14:C51)</f>
        <v>78443</v>
      </c>
      <c r="D13" s="96">
        <f>SUM(D14:D51)</f>
        <v>83290</v>
      </c>
      <c r="E13" s="96">
        <f t="shared" si="1"/>
        <v>161733</v>
      </c>
      <c r="F13" s="96">
        <f t="shared" si="2"/>
        <v>350304</v>
      </c>
      <c r="G13" s="96"/>
      <c r="H13" s="47" t="s">
        <v>316</v>
      </c>
      <c r="I13" s="91">
        <v>2325</v>
      </c>
      <c r="J13" s="47"/>
      <c r="K13" s="97">
        <f t="shared" si="0"/>
        <v>2325</v>
      </c>
      <c r="L13" s="47"/>
    </row>
    <row r="14" spans="1:12" s="81" customFormat="1" ht="16.5" customHeight="1">
      <c r="A14" s="106" t="s">
        <v>317</v>
      </c>
      <c r="B14" s="105">
        <v>1618</v>
      </c>
      <c r="C14" s="96"/>
      <c r="D14" s="96"/>
      <c r="E14" s="96">
        <f t="shared" si="1"/>
        <v>0</v>
      </c>
      <c r="F14" s="96">
        <f t="shared" si="2"/>
        <v>1618</v>
      </c>
      <c r="G14" s="96"/>
      <c r="H14" s="47" t="s">
        <v>318</v>
      </c>
      <c r="I14" s="91">
        <v>500</v>
      </c>
      <c r="J14" s="47"/>
      <c r="K14" s="97">
        <f t="shared" si="0"/>
        <v>500</v>
      </c>
      <c r="L14" s="47"/>
    </row>
    <row r="15" spans="1:12" s="81" customFormat="1" ht="16.5" customHeight="1">
      <c r="A15" s="106" t="s">
        <v>319</v>
      </c>
      <c r="B15" s="105">
        <f>101680-6685-1531+7000</f>
        <v>100464</v>
      </c>
      <c r="C15" s="105">
        <f>5556+1129</f>
        <v>6685</v>
      </c>
      <c r="D15" s="96"/>
      <c r="E15" s="96">
        <f t="shared" si="1"/>
        <v>6685</v>
      </c>
      <c r="F15" s="96">
        <f t="shared" si="2"/>
        <v>107149</v>
      </c>
      <c r="G15" s="96"/>
      <c r="H15" s="47" t="s">
        <v>320</v>
      </c>
      <c r="I15" s="96">
        <v>1274</v>
      </c>
      <c r="J15" s="96"/>
      <c r="K15" s="97">
        <f t="shared" si="0"/>
        <v>1274</v>
      </c>
      <c r="L15" s="91"/>
    </row>
    <row r="16" spans="1:12" s="81" customFormat="1" ht="16.5" customHeight="1">
      <c r="A16" s="106" t="s">
        <v>321</v>
      </c>
      <c r="B16" s="105">
        <f>38966+3000</f>
        <v>41966</v>
      </c>
      <c r="C16" s="96"/>
      <c r="D16" s="96">
        <v>600</v>
      </c>
      <c r="E16" s="96">
        <f t="shared" si="1"/>
        <v>600</v>
      </c>
      <c r="F16" s="96">
        <f t="shared" si="2"/>
        <v>42566</v>
      </c>
      <c r="G16" s="96"/>
      <c r="H16" s="47" t="s">
        <v>322</v>
      </c>
      <c r="I16" s="96">
        <v>20733</v>
      </c>
      <c r="J16" s="96"/>
      <c r="K16" s="97">
        <f t="shared" si="0"/>
        <v>20733</v>
      </c>
      <c r="L16" s="91"/>
    </row>
    <row r="17" spans="1:12" s="81" customFormat="1" ht="16.5" customHeight="1">
      <c r="A17" s="106" t="s">
        <v>323</v>
      </c>
      <c r="B17" s="105">
        <v>2188</v>
      </c>
      <c r="C17" s="96"/>
      <c r="D17" s="96">
        <v>38</v>
      </c>
      <c r="E17" s="96">
        <f t="shared" si="1"/>
        <v>38</v>
      </c>
      <c r="F17" s="96">
        <f t="shared" si="2"/>
        <v>2226</v>
      </c>
      <c r="G17" s="96"/>
      <c r="H17" s="47" t="s">
        <v>324</v>
      </c>
      <c r="I17" s="96">
        <f>28894-I7</f>
        <v>19545</v>
      </c>
      <c r="J17" s="96"/>
      <c r="K17" s="97">
        <f t="shared" si="0"/>
        <v>19545</v>
      </c>
      <c r="L17" s="91"/>
    </row>
    <row r="18" spans="1:12" s="81" customFormat="1" ht="16.5" customHeight="1">
      <c r="A18" s="106" t="s">
        <v>325</v>
      </c>
      <c r="B18" s="105">
        <v>558</v>
      </c>
      <c r="C18" s="96"/>
      <c r="D18" s="96"/>
      <c r="E18" s="96">
        <f t="shared" si="1"/>
        <v>0</v>
      </c>
      <c r="F18" s="96">
        <f t="shared" si="2"/>
        <v>558</v>
      </c>
      <c r="G18" s="96"/>
      <c r="H18" s="47" t="s">
        <v>326</v>
      </c>
      <c r="I18" s="96">
        <v>40760</v>
      </c>
      <c r="J18" s="96"/>
      <c r="K18" s="97">
        <f t="shared" si="0"/>
        <v>40760</v>
      </c>
      <c r="L18" s="91"/>
    </row>
    <row r="19" spans="1:12" s="81" customFormat="1" ht="16.5" customHeight="1">
      <c r="A19" s="106" t="s">
        <v>327</v>
      </c>
      <c r="B19" s="105">
        <v>215</v>
      </c>
      <c r="C19" s="96"/>
      <c r="D19" s="96"/>
      <c r="E19" s="96">
        <f t="shared" si="1"/>
        <v>0</v>
      </c>
      <c r="F19" s="96">
        <f t="shared" si="2"/>
        <v>215</v>
      </c>
      <c r="G19" s="96"/>
      <c r="H19" s="47" t="s">
        <v>328</v>
      </c>
      <c r="I19" s="96">
        <f>15121+500</f>
        <v>15621</v>
      </c>
      <c r="J19" s="96"/>
      <c r="K19" s="97">
        <f t="shared" si="0"/>
        <v>15621</v>
      </c>
      <c r="L19" s="91"/>
    </row>
    <row r="20" spans="1:12" s="81" customFormat="1" ht="16.5" customHeight="1">
      <c r="A20" s="106" t="s">
        <v>329</v>
      </c>
      <c r="B20" s="105"/>
      <c r="C20" s="96">
        <v>612</v>
      </c>
      <c r="D20" s="96">
        <v>1942</v>
      </c>
      <c r="E20" s="96">
        <f t="shared" si="1"/>
        <v>2554</v>
      </c>
      <c r="F20" s="96">
        <f t="shared" si="2"/>
        <v>2554</v>
      </c>
      <c r="G20" s="96"/>
      <c r="H20" s="47" t="s">
        <v>330</v>
      </c>
      <c r="I20" s="96">
        <f>SUM(I21:I29)</f>
        <v>35414</v>
      </c>
      <c r="J20" s="96"/>
      <c r="K20" s="97">
        <f t="shared" si="0"/>
        <v>35414</v>
      </c>
      <c r="L20" s="91"/>
    </row>
    <row r="21" spans="1:12" s="81" customFormat="1" ht="16.5" customHeight="1">
      <c r="A21" s="106" t="s">
        <v>331</v>
      </c>
      <c r="B21" s="105">
        <f>7061-384</f>
        <v>6677</v>
      </c>
      <c r="C21" s="96"/>
      <c r="D21" s="96"/>
      <c r="E21" s="96">
        <f t="shared" si="1"/>
        <v>0</v>
      </c>
      <c r="F21" s="96">
        <f t="shared" si="2"/>
        <v>6677</v>
      </c>
      <c r="G21" s="96"/>
      <c r="H21" s="47" t="s">
        <v>332</v>
      </c>
      <c r="I21" s="96">
        <v>11427</v>
      </c>
      <c r="J21" s="96"/>
      <c r="K21" s="97">
        <f t="shared" si="0"/>
        <v>11427</v>
      </c>
      <c r="L21" s="91"/>
    </row>
    <row r="22" spans="1:12" s="81" customFormat="1" ht="16.5" customHeight="1">
      <c r="A22" s="107" t="s">
        <v>333</v>
      </c>
      <c r="B22" s="105"/>
      <c r="C22" s="96">
        <v>180</v>
      </c>
      <c r="D22" s="96"/>
      <c r="E22" s="96">
        <f t="shared" si="1"/>
        <v>180</v>
      </c>
      <c r="F22" s="96">
        <f t="shared" si="2"/>
        <v>180</v>
      </c>
      <c r="G22" s="96"/>
      <c r="H22" s="47" t="s">
        <v>334</v>
      </c>
      <c r="I22" s="96">
        <v>20</v>
      </c>
      <c r="J22" s="96"/>
      <c r="K22" s="97">
        <f t="shared" si="0"/>
        <v>20</v>
      </c>
      <c r="L22" s="91"/>
    </row>
    <row r="23" spans="1:12" s="81" customFormat="1" ht="16.5" customHeight="1">
      <c r="A23" s="107" t="s">
        <v>335</v>
      </c>
      <c r="B23" s="105"/>
      <c r="C23" s="96"/>
      <c r="D23" s="96"/>
      <c r="E23" s="96">
        <f t="shared" si="1"/>
        <v>0</v>
      </c>
      <c r="F23" s="96">
        <f t="shared" si="2"/>
        <v>0</v>
      </c>
      <c r="G23" s="96"/>
      <c r="H23" s="47" t="s">
        <v>336</v>
      </c>
      <c r="I23" s="96">
        <v>800</v>
      </c>
      <c r="J23" s="96"/>
      <c r="K23" s="97">
        <f t="shared" si="0"/>
        <v>800</v>
      </c>
      <c r="L23" s="91"/>
    </row>
    <row r="24" spans="1:12" s="81" customFormat="1" ht="16.5" customHeight="1">
      <c r="A24" s="106" t="s">
        <v>337</v>
      </c>
      <c r="B24" s="105"/>
      <c r="C24" s="96"/>
      <c r="D24" s="96"/>
      <c r="E24" s="96">
        <f t="shared" si="1"/>
        <v>0</v>
      </c>
      <c r="F24" s="96">
        <f t="shared" si="2"/>
        <v>0</v>
      </c>
      <c r="G24" s="96"/>
      <c r="H24" s="47" t="s">
        <v>338</v>
      </c>
      <c r="I24" s="96">
        <v>1005</v>
      </c>
      <c r="J24" s="96"/>
      <c r="K24" s="97">
        <f t="shared" si="0"/>
        <v>1005</v>
      </c>
      <c r="L24" s="91"/>
    </row>
    <row r="25" spans="1:12" s="81" customFormat="1" ht="16.5" customHeight="1">
      <c r="A25" s="107" t="s">
        <v>339</v>
      </c>
      <c r="B25" s="105"/>
      <c r="C25" s="96">
        <v>7507</v>
      </c>
      <c r="D25" s="105">
        <v>2151</v>
      </c>
      <c r="E25" s="96">
        <f t="shared" si="1"/>
        <v>9658</v>
      </c>
      <c r="F25" s="96">
        <f t="shared" si="2"/>
        <v>9658</v>
      </c>
      <c r="G25" s="96"/>
      <c r="H25" s="47" t="s">
        <v>340</v>
      </c>
      <c r="I25" s="96">
        <v>2308</v>
      </c>
      <c r="J25" s="96"/>
      <c r="K25" s="97">
        <f t="shared" si="0"/>
        <v>2308</v>
      </c>
      <c r="L25" s="91"/>
    </row>
    <row r="26" spans="1:12" s="81" customFormat="1" ht="16.5" customHeight="1">
      <c r="A26" s="107" t="s">
        <v>341</v>
      </c>
      <c r="B26" s="105">
        <v>14433</v>
      </c>
      <c r="C26" s="96"/>
      <c r="D26" s="96"/>
      <c r="E26" s="96">
        <f t="shared" si="1"/>
        <v>0</v>
      </c>
      <c r="F26" s="96">
        <f t="shared" si="2"/>
        <v>14433</v>
      </c>
      <c r="G26" s="96"/>
      <c r="H26" s="47" t="s">
        <v>342</v>
      </c>
      <c r="I26" s="96">
        <v>2267</v>
      </c>
      <c r="J26" s="96"/>
      <c r="K26" s="97">
        <f t="shared" si="0"/>
        <v>2267</v>
      </c>
      <c r="L26" s="91"/>
    </row>
    <row r="27" spans="1:12" s="81" customFormat="1" ht="16.5" customHeight="1">
      <c r="A27" s="108" t="s">
        <v>343</v>
      </c>
      <c r="B27" s="105"/>
      <c r="C27" s="96"/>
      <c r="D27" s="96"/>
      <c r="E27" s="96">
        <f t="shared" si="1"/>
        <v>0</v>
      </c>
      <c r="F27" s="96">
        <f t="shared" si="2"/>
        <v>0</v>
      </c>
      <c r="G27" s="96"/>
      <c r="H27" s="47" t="s">
        <v>344</v>
      </c>
      <c r="I27" s="96">
        <v>956</v>
      </c>
      <c r="J27" s="96"/>
      <c r="K27" s="97">
        <f t="shared" si="0"/>
        <v>956</v>
      </c>
      <c r="L27" s="91"/>
    </row>
    <row r="28" spans="1:12" s="81" customFormat="1" ht="16.5" customHeight="1">
      <c r="A28" s="108" t="s">
        <v>345</v>
      </c>
      <c r="B28" s="105"/>
      <c r="C28" s="96"/>
      <c r="D28" s="96"/>
      <c r="E28" s="96">
        <f t="shared" si="1"/>
        <v>0</v>
      </c>
      <c r="F28" s="96">
        <f t="shared" si="2"/>
        <v>0</v>
      </c>
      <c r="G28" s="96"/>
      <c r="H28" s="47" t="s">
        <v>346</v>
      </c>
      <c r="I28" s="96">
        <v>200</v>
      </c>
      <c r="J28" s="96"/>
      <c r="K28" s="97">
        <f t="shared" si="0"/>
        <v>200</v>
      </c>
      <c r="L28" s="91"/>
    </row>
    <row r="29" spans="1:12" s="81" customFormat="1" ht="16.5" customHeight="1">
      <c r="A29" s="108" t="s">
        <v>347</v>
      </c>
      <c r="B29" s="105"/>
      <c r="C29" s="96"/>
      <c r="D29" s="96"/>
      <c r="E29" s="96">
        <f t="shared" si="1"/>
        <v>0</v>
      </c>
      <c r="F29" s="96">
        <f t="shared" si="2"/>
        <v>0</v>
      </c>
      <c r="G29" s="96"/>
      <c r="H29" s="47" t="s">
        <v>348</v>
      </c>
      <c r="I29" s="96">
        <v>16431</v>
      </c>
      <c r="J29" s="96"/>
      <c r="K29" s="97">
        <f t="shared" si="0"/>
        <v>16431</v>
      </c>
      <c r="L29" s="91"/>
    </row>
    <row r="30" spans="1:12" s="81" customFormat="1" ht="16.5" customHeight="1">
      <c r="A30" s="108" t="s">
        <v>349</v>
      </c>
      <c r="B30" s="105"/>
      <c r="C30" s="96"/>
      <c r="D30" s="96">
        <f>2618-220-48-20-43-600</f>
        <v>1687</v>
      </c>
      <c r="E30" s="96">
        <f t="shared" si="1"/>
        <v>1687</v>
      </c>
      <c r="F30" s="96">
        <f t="shared" si="2"/>
        <v>1687</v>
      </c>
      <c r="G30" s="96"/>
      <c r="H30" s="47" t="s">
        <v>350</v>
      </c>
      <c r="I30" s="96">
        <f>SUM(I31:I34)</f>
        <v>20684</v>
      </c>
      <c r="J30" s="96"/>
      <c r="K30" s="97">
        <f t="shared" si="0"/>
        <v>20684</v>
      </c>
      <c r="L30" s="91"/>
    </row>
    <row r="31" spans="1:12" s="81" customFormat="1" ht="18" customHeight="1">
      <c r="A31" s="108" t="s">
        <v>351</v>
      </c>
      <c r="B31" s="105">
        <f>1844+16631</f>
        <v>18475</v>
      </c>
      <c r="C31" s="96">
        <v>7559</v>
      </c>
      <c r="D31" s="96">
        <v>819</v>
      </c>
      <c r="E31" s="96">
        <f t="shared" si="1"/>
        <v>8378</v>
      </c>
      <c r="F31" s="96">
        <f t="shared" si="2"/>
        <v>26853</v>
      </c>
      <c r="G31" s="109"/>
      <c r="H31" s="47" t="s">
        <v>352</v>
      </c>
      <c r="I31" s="96">
        <v>7176</v>
      </c>
      <c r="J31" s="96"/>
      <c r="K31" s="97">
        <f t="shared" si="0"/>
        <v>7176</v>
      </c>
      <c r="L31" s="110"/>
    </row>
    <row r="32" spans="1:12" s="81" customFormat="1" ht="15.75" customHeight="1">
      <c r="A32" s="108" t="s">
        <v>353</v>
      </c>
      <c r="B32" s="105"/>
      <c r="C32" s="96"/>
      <c r="D32" s="96">
        <v>65</v>
      </c>
      <c r="E32" s="96">
        <f t="shared" si="1"/>
        <v>65</v>
      </c>
      <c r="F32" s="96">
        <f t="shared" si="2"/>
        <v>65</v>
      </c>
      <c r="G32" s="96"/>
      <c r="H32" s="47" t="s">
        <v>354</v>
      </c>
      <c r="I32" s="105">
        <v>8752</v>
      </c>
      <c r="J32" s="96"/>
      <c r="K32" s="97">
        <f t="shared" si="0"/>
        <v>8752</v>
      </c>
      <c r="L32" s="91"/>
    </row>
    <row r="33" spans="1:12" s="81" customFormat="1" ht="15.75" customHeight="1">
      <c r="A33" s="108" t="s">
        <v>355</v>
      </c>
      <c r="B33" s="105"/>
      <c r="C33" s="96"/>
      <c r="D33" s="96">
        <f>668+65</f>
        <v>733</v>
      </c>
      <c r="E33" s="96">
        <f t="shared" si="1"/>
        <v>733</v>
      </c>
      <c r="F33" s="96">
        <f t="shared" si="2"/>
        <v>733</v>
      </c>
      <c r="G33" s="96"/>
      <c r="H33" s="47" t="s">
        <v>356</v>
      </c>
      <c r="I33" s="105">
        <v>2123</v>
      </c>
      <c r="J33" s="96"/>
      <c r="K33" s="97">
        <f t="shared" si="0"/>
        <v>2123</v>
      </c>
      <c r="L33" s="91"/>
    </row>
    <row r="34" spans="1:12" s="81" customFormat="1" ht="15.75" customHeight="1">
      <c r="A34" s="108" t="s">
        <v>357</v>
      </c>
      <c r="B34" s="105">
        <v>2</v>
      </c>
      <c r="C34" s="96"/>
      <c r="D34" s="96">
        <v>38605</v>
      </c>
      <c r="E34" s="96">
        <f t="shared" si="1"/>
        <v>38605</v>
      </c>
      <c r="F34" s="96">
        <f t="shared" si="2"/>
        <v>38607</v>
      </c>
      <c r="G34" s="96"/>
      <c r="H34" s="47" t="s">
        <v>358</v>
      </c>
      <c r="I34" s="105">
        <f>3861-547+25-129-30-2-545</f>
        <v>2633</v>
      </c>
      <c r="J34" s="96"/>
      <c r="K34" s="97">
        <f t="shared" si="0"/>
        <v>2633</v>
      </c>
      <c r="L34" s="91"/>
    </row>
    <row r="35" spans="1:12" s="81" customFormat="1" ht="15.75" customHeight="1">
      <c r="A35" s="108" t="s">
        <v>359</v>
      </c>
      <c r="B35" s="105">
        <v>128</v>
      </c>
      <c r="C35" s="96">
        <v>37533</v>
      </c>
      <c r="D35" s="96">
        <v>10459</v>
      </c>
      <c r="E35" s="96">
        <f t="shared" si="1"/>
        <v>47992</v>
      </c>
      <c r="F35" s="96">
        <f t="shared" si="2"/>
        <v>48120</v>
      </c>
      <c r="G35" s="96"/>
      <c r="H35" s="47" t="s">
        <v>360</v>
      </c>
      <c r="I35" s="105">
        <f>SUM(I36:I46)</f>
        <v>20888</v>
      </c>
      <c r="J35" s="96"/>
      <c r="K35" s="97">
        <f t="shared" si="0"/>
        <v>20888</v>
      </c>
      <c r="L35" s="91"/>
    </row>
    <row r="36" spans="1:12" s="81" customFormat="1" ht="15.75" customHeight="1">
      <c r="A36" s="108" t="s">
        <v>361</v>
      </c>
      <c r="B36" s="105"/>
      <c r="C36" s="96"/>
      <c r="D36" s="96">
        <v>429</v>
      </c>
      <c r="E36" s="96">
        <f t="shared" si="1"/>
        <v>429</v>
      </c>
      <c r="F36" s="96">
        <f t="shared" si="2"/>
        <v>429</v>
      </c>
      <c r="G36" s="96"/>
      <c r="H36" s="47" t="s">
        <v>362</v>
      </c>
      <c r="I36" s="105">
        <v>11868</v>
      </c>
      <c r="J36" s="96"/>
      <c r="K36" s="97">
        <f t="shared" si="0"/>
        <v>11868</v>
      </c>
      <c r="L36" s="91"/>
    </row>
    <row r="37" spans="1:12" s="81" customFormat="1" ht="15.75" customHeight="1">
      <c r="A37" s="108" t="s">
        <v>363</v>
      </c>
      <c r="B37" s="105"/>
      <c r="C37" s="96"/>
      <c r="D37" s="96"/>
      <c r="E37" s="96">
        <f t="shared" si="1"/>
        <v>0</v>
      </c>
      <c r="F37" s="96">
        <f t="shared" si="2"/>
        <v>0</v>
      </c>
      <c r="G37" s="96"/>
      <c r="H37" s="47" t="s">
        <v>364</v>
      </c>
      <c r="I37" s="105">
        <f>1080+800+2000</f>
        <v>3880</v>
      </c>
      <c r="J37" s="96"/>
      <c r="K37" s="97">
        <f t="shared" si="0"/>
        <v>3880</v>
      </c>
      <c r="L37" s="91"/>
    </row>
    <row r="38" spans="1:12" s="81" customFormat="1" ht="15.75" customHeight="1">
      <c r="A38" s="108" t="s">
        <v>365</v>
      </c>
      <c r="B38" s="105">
        <v>1751</v>
      </c>
      <c r="C38" s="96">
        <v>18367</v>
      </c>
      <c r="D38" s="96">
        <v>13275</v>
      </c>
      <c r="E38" s="96">
        <f t="shared" si="1"/>
        <v>31642</v>
      </c>
      <c r="F38" s="96">
        <f t="shared" si="2"/>
        <v>33393</v>
      </c>
      <c r="G38" s="96"/>
      <c r="H38" s="47" t="s">
        <v>366</v>
      </c>
      <c r="I38" s="52">
        <v>5140</v>
      </c>
      <c r="J38" s="96"/>
      <c r="K38" s="97">
        <f t="shared" si="0"/>
        <v>5140</v>
      </c>
      <c r="L38" s="91"/>
    </row>
    <row r="39" spans="1:12" s="81" customFormat="1" ht="15.75" customHeight="1">
      <c r="A39" s="108" t="s">
        <v>367</v>
      </c>
      <c r="B39" s="105"/>
      <c r="C39" s="96"/>
      <c r="D39" s="96">
        <v>9682</v>
      </c>
      <c r="E39" s="96">
        <f t="shared" si="1"/>
        <v>9682</v>
      </c>
      <c r="F39" s="96">
        <f t="shared" si="2"/>
        <v>9682</v>
      </c>
      <c r="G39" s="96"/>
      <c r="H39" s="47"/>
      <c r="I39" s="52"/>
      <c r="J39" s="91"/>
      <c r="K39" s="91"/>
      <c r="L39" s="91"/>
    </row>
    <row r="40" spans="1:12" s="81" customFormat="1" ht="15.75" customHeight="1">
      <c r="A40" s="108" t="s">
        <v>368</v>
      </c>
      <c r="B40" s="105"/>
      <c r="C40" s="96"/>
      <c r="D40" s="96"/>
      <c r="E40" s="96">
        <f t="shared" si="1"/>
        <v>0</v>
      </c>
      <c r="F40" s="96">
        <f t="shared" si="2"/>
        <v>0</v>
      </c>
      <c r="G40" s="96"/>
      <c r="H40" s="47"/>
      <c r="I40" s="52"/>
      <c r="J40" s="91"/>
      <c r="K40" s="91"/>
      <c r="L40" s="91"/>
    </row>
    <row r="41" spans="1:12" s="81" customFormat="1" ht="15.75" customHeight="1">
      <c r="A41" s="108" t="s">
        <v>369</v>
      </c>
      <c r="B41" s="105"/>
      <c r="C41" s="96"/>
      <c r="D41" s="96">
        <v>300</v>
      </c>
      <c r="E41" s="96">
        <f t="shared" si="1"/>
        <v>300</v>
      </c>
      <c r="F41" s="96">
        <f t="shared" si="2"/>
        <v>300</v>
      </c>
      <c r="G41" s="96"/>
      <c r="H41" s="47"/>
      <c r="I41" s="52"/>
      <c r="J41" s="91"/>
      <c r="K41" s="91"/>
      <c r="L41" s="91"/>
    </row>
    <row r="42" spans="1:12" s="81" customFormat="1" ht="15.75" customHeight="1">
      <c r="A42" s="108" t="s">
        <v>370</v>
      </c>
      <c r="B42" s="105"/>
      <c r="C42" s="96"/>
      <c r="D42" s="96"/>
      <c r="E42" s="96">
        <f t="shared" si="1"/>
        <v>0</v>
      </c>
      <c r="F42" s="96">
        <f t="shared" si="2"/>
        <v>0</v>
      </c>
      <c r="G42" s="96"/>
      <c r="H42" s="47"/>
      <c r="I42" s="52"/>
      <c r="J42" s="91"/>
      <c r="K42" s="91"/>
      <c r="L42" s="91"/>
    </row>
    <row r="43" spans="1:12" s="81" customFormat="1" ht="15.75" customHeight="1">
      <c r="A43" s="108" t="s">
        <v>371</v>
      </c>
      <c r="B43" s="105"/>
      <c r="C43" s="96"/>
      <c r="D43" s="96"/>
      <c r="E43" s="96">
        <f t="shared" si="1"/>
        <v>0</v>
      </c>
      <c r="F43" s="96">
        <f t="shared" si="2"/>
        <v>0</v>
      </c>
      <c r="G43" s="96"/>
      <c r="H43" s="47"/>
      <c r="I43" s="105"/>
      <c r="J43" s="91"/>
      <c r="K43" s="91"/>
      <c r="L43" s="91"/>
    </row>
    <row r="44" spans="1:12" s="81" customFormat="1" ht="15.75" customHeight="1">
      <c r="A44" s="108" t="s">
        <v>372</v>
      </c>
      <c r="B44" s="105"/>
      <c r="C44" s="96"/>
      <c r="D44" s="96">
        <v>1327</v>
      </c>
      <c r="E44" s="96">
        <f t="shared" si="1"/>
        <v>1327</v>
      </c>
      <c r="F44" s="96">
        <f t="shared" si="2"/>
        <v>1327</v>
      </c>
      <c r="G44" s="96"/>
      <c r="H44" s="47"/>
      <c r="I44" s="52"/>
      <c r="J44" s="94"/>
      <c r="K44" s="94"/>
      <c r="L44" s="91"/>
    </row>
    <row r="45" spans="1:12" s="81" customFormat="1" ht="15.75" customHeight="1">
      <c r="A45" s="108" t="s">
        <v>373</v>
      </c>
      <c r="B45" s="105"/>
      <c r="C45" s="96"/>
      <c r="D45" s="96"/>
      <c r="E45" s="96">
        <f t="shared" si="1"/>
        <v>0</v>
      </c>
      <c r="F45" s="96">
        <f t="shared" si="2"/>
        <v>0</v>
      </c>
      <c r="G45" s="96"/>
      <c r="H45" s="47"/>
      <c r="I45" s="52"/>
      <c r="J45" s="91"/>
      <c r="K45" s="91"/>
      <c r="L45" s="91"/>
    </row>
    <row r="46" spans="1:12" s="81" customFormat="1" ht="15.75" customHeight="1">
      <c r="A46" s="108" t="s">
        <v>374</v>
      </c>
      <c r="B46" s="105"/>
      <c r="C46" s="96"/>
      <c r="D46" s="96">
        <v>451</v>
      </c>
      <c r="E46" s="96">
        <f t="shared" si="1"/>
        <v>451</v>
      </c>
      <c r="F46" s="96">
        <f t="shared" si="2"/>
        <v>451</v>
      </c>
      <c r="G46" s="96"/>
      <c r="H46" s="95"/>
      <c r="I46" s="105"/>
      <c r="J46" s="91"/>
      <c r="K46" s="91"/>
      <c r="L46" s="91"/>
    </row>
    <row r="47" spans="1:12" s="81" customFormat="1" ht="15.75" customHeight="1">
      <c r="A47" s="108" t="s">
        <v>375</v>
      </c>
      <c r="B47" s="105"/>
      <c r="C47" s="96"/>
      <c r="D47" s="96"/>
      <c r="E47" s="96">
        <f t="shared" si="1"/>
        <v>0</v>
      </c>
      <c r="F47" s="96">
        <f t="shared" si="2"/>
        <v>0</v>
      </c>
      <c r="G47" s="96"/>
      <c r="H47" s="95" t="s">
        <v>376</v>
      </c>
      <c r="I47" s="105">
        <v>8621</v>
      </c>
      <c r="J47" s="94"/>
      <c r="K47" s="94">
        <f t="shared" si="0"/>
        <v>8621</v>
      </c>
      <c r="L47" s="111" t="s">
        <v>377</v>
      </c>
    </row>
    <row r="48" spans="1:12" s="81" customFormat="1" ht="15.75" customHeight="1">
      <c r="A48" s="108" t="s">
        <v>378</v>
      </c>
      <c r="B48" s="105"/>
      <c r="C48" s="96"/>
      <c r="D48" s="96"/>
      <c r="E48" s="96"/>
      <c r="F48" s="96"/>
      <c r="G48" s="96"/>
      <c r="H48" s="95"/>
      <c r="I48" s="105"/>
      <c r="J48" s="94"/>
      <c r="K48" s="94"/>
      <c r="L48" s="111"/>
    </row>
    <row r="49" spans="1:12" s="81" customFormat="1" ht="15.75" customHeight="1">
      <c r="A49" s="112" t="s">
        <v>379</v>
      </c>
      <c r="B49" s="105"/>
      <c r="C49" s="96"/>
      <c r="D49" s="96"/>
      <c r="E49" s="96"/>
      <c r="F49" s="96"/>
      <c r="G49" s="96"/>
      <c r="H49" s="95"/>
      <c r="I49" s="105"/>
      <c r="J49" s="94"/>
      <c r="K49" s="94"/>
      <c r="L49" s="111"/>
    </row>
    <row r="50" spans="1:12" s="81" customFormat="1" ht="15.75" customHeight="1">
      <c r="A50" s="112" t="s">
        <v>380</v>
      </c>
      <c r="B50" s="105"/>
      <c r="C50" s="96"/>
      <c r="D50" s="96"/>
      <c r="E50" s="96"/>
      <c r="F50" s="96"/>
      <c r="G50" s="96"/>
      <c r="H50" s="95"/>
      <c r="I50" s="105"/>
      <c r="J50" s="94"/>
      <c r="K50" s="94"/>
      <c r="L50" s="111"/>
    </row>
    <row r="51" spans="1:12" s="81" customFormat="1" ht="15.75" customHeight="1">
      <c r="A51" s="107" t="s">
        <v>381</v>
      </c>
      <c r="B51" s="105">
        <v>96</v>
      </c>
      <c r="C51" s="96"/>
      <c r="D51" s="96">
        <v>727</v>
      </c>
      <c r="E51" s="96">
        <f>C51+D51</f>
        <v>727</v>
      </c>
      <c r="F51" s="96">
        <f>B51+E51</f>
        <v>823</v>
      </c>
      <c r="G51" s="96"/>
      <c r="H51" s="113" t="s">
        <v>382</v>
      </c>
      <c r="I51" s="100">
        <f>I47+I35+I30+I20+I11</f>
        <v>193364</v>
      </c>
      <c r="J51" s="100">
        <f>E13+E12</f>
        <v>162540</v>
      </c>
      <c r="K51" s="100">
        <f t="shared" ref="K51" si="3">SUM(I51:J51)</f>
        <v>355904</v>
      </c>
      <c r="L51" s="98"/>
    </row>
    <row r="52" spans="1:12" s="81" customFormat="1" ht="15.75" customHeight="1">
      <c r="A52" s="47" t="s">
        <v>383</v>
      </c>
      <c r="B52" s="105"/>
      <c r="C52" s="96">
        <f>SUM(C53:C73)</f>
        <v>12894</v>
      </c>
      <c r="D52" s="96">
        <f>SUM(D53:D73)</f>
        <v>36392</v>
      </c>
      <c r="E52" s="96">
        <f t="shared" si="1"/>
        <v>49286</v>
      </c>
      <c r="F52" s="96">
        <f t="shared" si="2"/>
        <v>49286</v>
      </c>
      <c r="G52" s="96"/>
      <c r="H52" s="47"/>
      <c r="I52" s="47"/>
      <c r="J52" s="47"/>
      <c r="K52" s="47"/>
      <c r="L52" s="91"/>
    </row>
    <row r="53" spans="1:12" s="81" customFormat="1" ht="15.75" customHeight="1">
      <c r="A53" s="114" t="s">
        <v>384</v>
      </c>
      <c r="B53" s="105"/>
      <c r="C53" s="96"/>
      <c r="D53" s="96">
        <f>329+220</f>
        <v>549</v>
      </c>
      <c r="E53" s="96">
        <f t="shared" si="1"/>
        <v>549</v>
      </c>
      <c r="F53" s="96">
        <f t="shared" si="2"/>
        <v>549</v>
      </c>
      <c r="G53" s="96"/>
      <c r="H53" s="115" t="s">
        <v>384</v>
      </c>
      <c r="I53" s="47"/>
      <c r="J53" s="96">
        <f>F53</f>
        <v>549</v>
      </c>
      <c r="K53" s="97">
        <f t="shared" ref="K53:K90" si="4">SUM(I53:J53)</f>
        <v>549</v>
      </c>
      <c r="L53" s="91"/>
    </row>
    <row r="54" spans="1:12" s="81" customFormat="1" ht="15.75" customHeight="1">
      <c r="A54" s="114" t="s">
        <v>385</v>
      </c>
      <c r="B54" s="105"/>
      <c r="C54" s="96"/>
      <c r="D54" s="96"/>
      <c r="E54" s="96">
        <f t="shared" si="1"/>
        <v>0</v>
      </c>
      <c r="F54" s="96">
        <f t="shared" si="2"/>
        <v>0</v>
      </c>
      <c r="G54" s="96"/>
      <c r="H54" s="115" t="s">
        <v>385</v>
      </c>
      <c r="I54" s="47"/>
      <c r="J54" s="96">
        <f t="shared" ref="J54:J73" si="5">F54</f>
        <v>0</v>
      </c>
      <c r="K54" s="97">
        <f t="shared" si="4"/>
        <v>0</v>
      </c>
      <c r="L54" s="91"/>
    </row>
    <row r="55" spans="1:12" s="81" customFormat="1" ht="15.75" customHeight="1">
      <c r="A55" s="114" t="s">
        <v>386</v>
      </c>
      <c r="B55" s="105"/>
      <c r="C55" s="96"/>
      <c r="D55" s="96"/>
      <c r="E55" s="96">
        <f t="shared" si="1"/>
        <v>0</v>
      </c>
      <c r="F55" s="96">
        <f t="shared" si="2"/>
        <v>0</v>
      </c>
      <c r="G55" s="96"/>
      <c r="H55" s="115" t="s">
        <v>386</v>
      </c>
      <c r="I55" s="47"/>
      <c r="J55" s="96">
        <f t="shared" si="5"/>
        <v>0</v>
      </c>
      <c r="K55" s="97">
        <f t="shared" si="4"/>
        <v>0</v>
      </c>
      <c r="L55" s="91"/>
    </row>
    <row r="56" spans="1:12" s="81" customFormat="1" ht="15.75" customHeight="1">
      <c r="A56" s="114" t="s">
        <v>387</v>
      </c>
      <c r="B56" s="105"/>
      <c r="C56" s="96"/>
      <c r="D56" s="96">
        <v>48</v>
      </c>
      <c r="E56" s="96">
        <f t="shared" si="1"/>
        <v>48</v>
      </c>
      <c r="F56" s="96">
        <f t="shared" si="2"/>
        <v>48</v>
      </c>
      <c r="G56" s="96"/>
      <c r="H56" s="115" t="s">
        <v>387</v>
      </c>
      <c r="I56" s="47"/>
      <c r="J56" s="96">
        <f t="shared" si="5"/>
        <v>48</v>
      </c>
      <c r="K56" s="97">
        <f t="shared" si="4"/>
        <v>48</v>
      </c>
      <c r="L56" s="91"/>
    </row>
    <row r="57" spans="1:12" s="81" customFormat="1" ht="15.75" customHeight="1">
      <c r="A57" s="114" t="s">
        <v>388</v>
      </c>
      <c r="B57" s="105"/>
      <c r="C57" s="96">
        <v>1075</v>
      </c>
      <c r="D57" s="96">
        <v>41</v>
      </c>
      <c r="E57" s="96">
        <f t="shared" si="1"/>
        <v>1116</v>
      </c>
      <c r="F57" s="96">
        <f t="shared" si="2"/>
        <v>1116</v>
      </c>
      <c r="G57" s="96"/>
      <c r="H57" s="115" t="s">
        <v>388</v>
      </c>
      <c r="I57" s="47"/>
      <c r="J57" s="96">
        <f t="shared" si="5"/>
        <v>1116</v>
      </c>
      <c r="K57" s="97">
        <f t="shared" si="4"/>
        <v>1116</v>
      </c>
      <c r="L57" s="91"/>
    </row>
    <row r="58" spans="1:12" s="81" customFormat="1" ht="15.75" customHeight="1">
      <c r="A58" s="114" t="s">
        <v>389</v>
      </c>
      <c r="B58" s="105"/>
      <c r="C58" s="96"/>
      <c r="D58" s="96">
        <f>1399+20</f>
        <v>1419</v>
      </c>
      <c r="E58" s="96">
        <f t="shared" si="1"/>
        <v>1419</v>
      </c>
      <c r="F58" s="96">
        <f t="shared" si="2"/>
        <v>1419</v>
      </c>
      <c r="G58" s="96"/>
      <c r="H58" s="115" t="s">
        <v>389</v>
      </c>
      <c r="I58" s="47"/>
      <c r="J58" s="96">
        <f t="shared" si="5"/>
        <v>1419</v>
      </c>
      <c r="K58" s="97">
        <f t="shared" si="4"/>
        <v>1419</v>
      </c>
      <c r="L58" s="91"/>
    </row>
    <row r="59" spans="1:12" s="81" customFormat="1" ht="15.75" customHeight="1">
      <c r="A59" s="114" t="s">
        <v>390</v>
      </c>
      <c r="B59" s="105"/>
      <c r="C59" s="96"/>
      <c r="D59" s="96">
        <v>330</v>
      </c>
      <c r="E59" s="96">
        <f t="shared" si="1"/>
        <v>330</v>
      </c>
      <c r="F59" s="96">
        <f t="shared" si="2"/>
        <v>330</v>
      </c>
      <c r="G59" s="96"/>
      <c r="H59" s="115" t="s">
        <v>390</v>
      </c>
      <c r="I59" s="47"/>
      <c r="J59" s="96">
        <f t="shared" si="5"/>
        <v>330</v>
      </c>
      <c r="K59" s="97">
        <f t="shared" si="4"/>
        <v>330</v>
      </c>
      <c r="L59" s="91"/>
    </row>
    <row r="60" spans="1:12" s="81" customFormat="1" ht="15.75" customHeight="1">
      <c r="A60" s="114" t="s">
        <v>391</v>
      </c>
      <c r="B60" s="105"/>
      <c r="C60" s="96"/>
      <c r="D60" s="96">
        <v>2986</v>
      </c>
      <c r="E60" s="96">
        <f t="shared" si="1"/>
        <v>2986</v>
      </c>
      <c r="F60" s="96">
        <f t="shared" si="2"/>
        <v>2986</v>
      </c>
      <c r="G60" s="96"/>
      <c r="H60" s="115" t="s">
        <v>391</v>
      </c>
      <c r="I60" s="47"/>
      <c r="J60" s="96">
        <f t="shared" si="5"/>
        <v>2986</v>
      </c>
      <c r="K60" s="97">
        <f t="shared" si="4"/>
        <v>2986</v>
      </c>
      <c r="L60" s="91"/>
    </row>
    <row r="61" spans="1:12" s="81" customFormat="1" ht="15.75" customHeight="1">
      <c r="A61" s="114" t="s">
        <v>392</v>
      </c>
      <c r="B61" s="105"/>
      <c r="C61" s="96"/>
      <c r="D61" s="96">
        <v>615</v>
      </c>
      <c r="E61" s="96">
        <f t="shared" si="1"/>
        <v>615</v>
      </c>
      <c r="F61" s="96">
        <f t="shared" si="2"/>
        <v>615</v>
      </c>
      <c r="G61" s="96"/>
      <c r="H61" s="115" t="s">
        <v>392</v>
      </c>
      <c r="I61" s="47"/>
      <c r="J61" s="96">
        <f t="shared" si="5"/>
        <v>615</v>
      </c>
      <c r="K61" s="97">
        <f t="shared" si="4"/>
        <v>615</v>
      </c>
      <c r="L61" s="91"/>
    </row>
    <row r="62" spans="1:12" s="81" customFormat="1" ht="15.75" customHeight="1">
      <c r="A62" s="114" t="s">
        <v>393</v>
      </c>
      <c r="B62" s="105"/>
      <c r="C62" s="96">
        <v>7613</v>
      </c>
      <c r="D62" s="96">
        <v>4346</v>
      </c>
      <c r="E62" s="96">
        <f t="shared" si="1"/>
        <v>11959</v>
      </c>
      <c r="F62" s="96">
        <f t="shared" si="2"/>
        <v>11959</v>
      </c>
      <c r="G62" s="96"/>
      <c r="H62" s="115" t="s">
        <v>393</v>
      </c>
      <c r="I62" s="47"/>
      <c r="J62" s="96">
        <f t="shared" si="5"/>
        <v>11959</v>
      </c>
      <c r="K62" s="97">
        <f t="shared" si="4"/>
        <v>11959</v>
      </c>
      <c r="L62" s="91"/>
    </row>
    <row r="63" spans="1:12" s="81" customFormat="1" ht="15.75" customHeight="1">
      <c r="A63" s="114" t="s">
        <v>394</v>
      </c>
      <c r="B63" s="105"/>
      <c r="C63" s="96">
        <v>44</v>
      </c>
      <c r="D63" s="96">
        <v>184</v>
      </c>
      <c r="E63" s="96">
        <f t="shared" si="1"/>
        <v>228</v>
      </c>
      <c r="F63" s="96">
        <f t="shared" si="2"/>
        <v>228</v>
      </c>
      <c r="G63" s="96"/>
      <c r="H63" s="115" t="s">
        <v>394</v>
      </c>
      <c r="I63" s="47"/>
      <c r="J63" s="96">
        <f t="shared" si="5"/>
        <v>228</v>
      </c>
      <c r="K63" s="97">
        <f t="shared" si="4"/>
        <v>228</v>
      </c>
      <c r="L63" s="91"/>
    </row>
    <row r="64" spans="1:12" s="81" customFormat="1" ht="15.75" customHeight="1">
      <c r="A64" s="114" t="s">
        <v>395</v>
      </c>
      <c r="B64" s="105"/>
      <c r="C64" s="96">
        <v>4137</v>
      </c>
      <c r="D64" s="96">
        <f>9518+200</f>
        <v>9718</v>
      </c>
      <c r="E64" s="96">
        <f t="shared" si="1"/>
        <v>13855</v>
      </c>
      <c r="F64" s="96">
        <f t="shared" si="2"/>
        <v>13855</v>
      </c>
      <c r="G64" s="96"/>
      <c r="H64" s="115" t="s">
        <v>395</v>
      </c>
      <c r="I64" s="47"/>
      <c r="J64" s="96">
        <f t="shared" si="5"/>
        <v>13855</v>
      </c>
      <c r="K64" s="97">
        <f t="shared" si="4"/>
        <v>13855</v>
      </c>
      <c r="L64" s="91"/>
    </row>
    <row r="65" spans="1:12" s="81" customFormat="1" ht="15.75" customHeight="1">
      <c r="A65" s="114" t="s">
        <v>396</v>
      </c>
      <c r="B65" s="105"/>
      <c r="C65" s="96"/>
      <c r="D65" s="96">
        <v>8960</v>
      </c>
      <c r="E65" s="96">
        <f t="shared" si="1"/>
        <v>8960</v>
      </c>
      <c r="F65" s="96">
        <f t="shared" si="2"/>
        <v>8960</v>
      </c>
      <c r="G65" s="96"/>
      <c r="H65" s="115" t="s">
        <v>396</v>
      </c>
      <c r="I65" s="47"/>
      <c r="J65" s="96">
        <f t="shared" si="5"/>
        <v>8960</v>
      </c>
      <c r="K65" s="97">
        <f t="shared" si="4"/>
        <v>8960</v>
      </c>
      <c r="L65" s="91"/>
    </row>
    <row r="66" spans="1:12" s="81" customFormat="1" ht="15.75" customHeight="1">
      <c r="A66" s="114" t="s">
        <v>397</v>
      </c>
      <c r="B66" s="105"/>
      <c r="C66" s="96"/>
      <c r="D66" s="96">
        <v>880</v>
      </c>
      <c r="E66" s="96">
        <f t="shared" si="1"/>
        <v>880</v>
      </c>
      <c r="F66" s="96">
        <f t="shared" si="2"/>
        <v>880</v>
      </c>
      <c r="G66" s="96"/>
      <c r="H66" s="115" t="s">
        <v>397</v>
      </c>
      <c r="I66" s="47"/>
      <c r="J66" s="96">
        <f t="shared" si="5"/>
        <v>880</v>
      </c>
      <c r="K66" s="97">
        <f t="shared" si="4"/>
        <v>880</v>
      </c>
      <c r="L66" s="91"/>
    </row>
    <row r="67" spans="1:12" s="81" customFormat="1" ht="15.75" customHeight="1">
      <c r="A67" s="114" t="s">
        <v>398</v>
      </c>
      <c r="B67" s="105"/>
      <c r="C67" s="96"/>
      <c r="D67" s="96">
        <v>638</v>
      </c>
      <c r="E67" s="96">
        <f t="shared" si="1"/>
        <v>638</v>
      </c>
      <c r="F67" s="96">
        <f t="shared" si="2"/>
        <v>638</v>
      </c>
      <c r="G67" s="96"/>
      <c r="H67" s="115" t="s">
        <v>398</v>
      </c>
      <c r="I67" s="47"/>
      <c r="J67" s="96">
        <f t="shared" si="5"/>
        <v>638</v>
      </c>
      <c r="K67" s="97">
        <f t="shared" si="4"/>
        <v>638</v>
      </c>
      <c r="L67" s="91"/>
    </row>
    <row r="68" spans="1:12" s="81" customFormat="1" ht="15.75" customHeight="1">
      <c r="A68" s="114" t="s">
        <v>399</v>
      </c>
      <c r="B68" s="105"/>
      <c r="C68" s="96">
        <v>25</v>
      </c>
      <c r="D68" s="96"/>
      <c r="E68" s="96">
        <f t="shared" si="1"/>
        <v>25</v>
      </c>
      <c r="F68" s="96">
        <f t="shared" si="2"/>
        <v>25</v>
      </c>
      <c r="G68" s="96"/>
      <c r="H68" s="115" t="s">
        <v>399</v>
      </c>
      <c r="I68" s="47"/>
      <c r="J68" s="96">
        <f t="shared" si="5"/>
        <v>25</v>
      </c>
      <c r="K68" s="97">
        <f t="shared" si="4"/>
        <v>25</v>
      </c>
      <c r="L68" s="91"/>
    </row>
    <row r="69" spans="1:12" s="81" customFormat="1" ht="15.75" customHeight="1">
      <c r="A69" s="114" t="s">
        <v>400</v>
      </c>
      <c r="B69" s="105"/>
      <c r="C69" s="96"/>
      <c r="D69" s="96">
        <v>2664</v>
      </c>
      <c r="E69" s="96">
        <f t="shared" si="1"/>
        <v>2664</v>
      </c>
      <c r="F69" s="96">
        <f t="shared" si="2"/>
        <v>2664</v>
      </c>
      <c r="G69" s="96"/>
      <c r="H69" s="115" t="s">
        <v>400</v>
      </c>
      <c r="I69" s="47"/>
      <c r="J69" s="96">
        <f t="shared" si="5"/>
        <v>2664</v>
      </c>
      <c r="K69" s="97">
        <f t="shared" si="4"/>
        <v>2664</v>
      </c>
      <c r="L69" s="91"/>
    </row>
    <row r="70" spans="1:12" s="81" customFormat="1" ht="15.75" customHeight="1">
      <c r="A70" s="114" t="s">
        <v>401</v>
      </c>
      <c r="B70" s="105"/>
      <c r="C70" s="96"/>
      <c r="D70" s="96">
        <v>1155</v>
      </c>
      <c r="E70" s="96">
        <f t="shared" si="1"/>
        <v>1155</v>
      </c>
      <c r="F70" s="96">
        <f t="shared" si="2"/>
        <v>1155</v>
      </c>
      <c r="G70" s="96"/>
      <c r="H70" s="115" t="s">
        <v>401</v>
      </c>
      <c r="I70" s="47"/>
      <c r="J70" s="96">
        <f t="shared" si="5"/>
        <v>1155</v>
      </c>
      <c r="K70" s="97">
        <f t="shared" si="4"/>
        <v>1155</v>
      </c>
      <c r="L70" s="91"/>
    </row>
    <row r="71" spans="1:12" s="81" customFormat="1" ht="15.75" customHeight="1">
      <c r="A71" s="114" t="s">
        <v>402</v>
      </c>
      <c r="B71" s="105"/>
      <c r="C71" s="96"/>
      <c r="D71" s="96">
        <v>25</v>
      </c>
      <c r="E71" s="96">
        <f t="shared" si="1"/>
        <v>25</v>
      </c>
      <c r="F71" s="96">
        <f t="shared" si="2"/>
        <v>25</v>
      </c>
      <c r="G71" s="96"/>
      <c r="H71" s="115" t="s">
        <v>402</v>
      </c>
      <c r="I71" s="105"/>
      <c r="J71" s="96">
        <f t="shared" si="5"/>
        <v>25</v>
      </c>
      <c r="K71" s="97">
        <f t="shared" si="4"/>
        <v>25</v>
      </c>
      <c r="L71" s="91"/>
    </row>
    <row r="72" spans="1:12" s="81" customFormat="1" ht="15.75" customHeight="1">
      <c r="A72" s="114" t="s">
        <v>403</v>
      </c>
      <c r="B72" s="105"/>
      <c r="C72" s="96"/>
      <c r="D72" s="96">
        <v>1834</v>
      </c>
      <c r="E72" s="96">
        <f t="shared" si="1"/>
        <v>1834</v>
      </c>
      <c r="F72" s="96">
        <f t="shared" si="2"/>
        <v>1834</v>
      </c>
      <c r="G72" s="96"/>
      <c r="H72" s="115" t="s">
        <v>403</v>
      </c>
      <c r="I72" s="47"/>
      <c r="J72" s="96">
        <f t="shared" si="5"/>
        <v>1834</v>
      </c>
      <c r="K72" s="97">
        <f t="shared" si="4"/>
        <v>1834</v>
      </c>
      <c r="L72" s="91"/>
    </row>
    <row r="73" spans="1:12" s="81" customFormat="1" ht="15.75" customHeight="1">
      <c r="A73" s="116" t="s">
        <v>404</v>
      </c>
      <c r="B73" s="105"/>
      <c r="C73" s="96"/>
      <c r="D73" s="96"/>
      <c r="E73" s="96">
        <f t="shared" si="1"/>
        <v>0</v>
      </c>
      <c r="F73" s="96">
        <f t="shared" si="2"/>
        <v>0</v>
      </c>
      <c r="G73" s="96"/>
      <c r="H73" s="108" t="s">
        <v>405</v>
      </c>
      <c r="I73" s="105"/>
      <c r="J73" s="96">
        <f t="shared" si="5"/>
        <v>0</v>
      </c>
      <c r="K73" s="97"/>
      <c r="L73" s="91"/>
    </row>
    <row r="74" spans="1:12" s="81" customFormat="1" ht="15.75" customHeight="1">
      <c r="A74" s="117"/>
      <c r="B74" s="118"/>
      <c r="C74" s="119"/>
      <c r="D74" s="119"/>
      <c r="E74" s="119"/>
      <c r="F74" s="119"/>
      <c r="G74" s="119"/>
      <c r="H74" s="120" t="s">
        <v>406</v>
      </c>
      <c r="I74" s="121">
        <f>SUM(I53:I73)</f>
        <v>0</v>
      </c>
      <c r="J74" s="121">
        <f t="shared" ref="J74:K74" si="6">SUM(J53:J73)</f>
        <v>49286</v>
      </c>
      <c r="K74" s="121">
        <f t="shared" si="6"/>
        <v>49286</v>
      </c>
      <c r="L74" s="98"/>
    </row>
    <row r="75" spans="1:12" s="81" customFormat="1" ht="15.75" customHeight="1">
      <c r="A75" s="229" t="s">
        <v>407</v>
      </c>
      <c r="B75" s="232">
        <f>I91-B5-B11</f>
        <v>83173</v>
      </c>
      <c r="C75" s="235"/>
      <c r="D75" s="235"/>
      <c r="E75" s="235">
        <f t="shared" si="1"/>
        <v>0</v>
      </c>
      <c r="F75" s="235">
        <f>B75+E75</f>
        <v>83173</v>
      </c>
      <c r="G75" s="225" t="s">
        <v>408</v>
      </c>
      <c r="H75" s="47" t="s">
        <v>409</v>
      </c>
      <c r="I75" s="96">
        <f>SUM(I76:I76)</f>
        <v>12391</v>
      </c>
      <c r="J75" s="96"/>
      <c r="K75" s="122">
        <f t="shared" si="4"/>
        <v>12391</v>
      </c>
      <c r="L75" s="91"/>
    </row>
    <row r="76" spans="1:12" s="81" customFormat="1" ht="15.75" customHeight="1">
      <c r="A76" s="230"/>
      <c r="B76" s="233"/>
      <c r="C76" s="236"/>
      <c r="D76" s="236"/>
      <c r="E76" s="236"/>
      <c r="F76" s="236"/>
      <c r="G76" s="226"/>
      <c r="H76" s="47" t="s">
        <v>410</v>
      </c>
      <c r="I76" s="96">
        <v>12391</v>
      </c>
      <c r="J76" s="96"/>
      <c r="K76" s="122">
        <f t="shared" si="4"/>
        <v>12391</v>
      </c>
      <c r="L76" s="91"/>
    </row>
    <row r="77" spans="1:12" s="81" customFormat="1" ht="15.75" customHeight="1">
      <c r="A77" s="230"/>
      <c r="B77" s="233"/>
      <c r="C77" s="236"/>
      <c r="D77" s="236"/>
      <c r="E77" s="236"/>
      <c r="F77" s="236"/>
      <c r="G77" s="226"/>
      <c r="H77" s="47" t="s">
        <v>411</v>
      </c>
      <c r="I77" s="96">
        <f>102530-I9-I36-I37</f>
        <v>70782</v>
      </c>
      <c r="J77" s="96"/>
      <c r="K77" s="122">
        <f t="shared" si="4"/>
        <v>70782</v>
      </c>
      <c r="L77" s="91"/>
    </row>
    <row r="78" spans="1:12" s="81" customFormat="1" ht="15.75" customHeight="1">
      <c r="A78" s="230"/>
      <c r="B78" s="233"/>
      <c r="C78" s="236"/>
      <c r="D78" s="236"/>
      <c r="E78" s="236"/>
      <c r="F78" s="236"/>
      <c r="G78" s="226"/>
      <c r="H78" s="95" t="s">
        <v>412</v>
      </c>
      <c r="I78" s="96">
        <v>5800</v>
      </c>
      <c r="J78" s="96"/>
      <c r="K78" s="122">
        <f t="shared" si="4"/>
        <v>5800</v>
      </c>
      <c r="L78" s="91"/>
    </row>
    <row r="79" spans="1:12" s="81" customFormat="1" ht="15.75" customHeight="1">
      <c r="A79" s="230"/>
      <c r="B79" s="233"/>
      <c r="C79" s="236"/>
      <c r="D79" s="236"/>
      <c r="E79" s="236"/>
      <c r="F79" s="236"/>
      <c r="G79" s="226"/>
      <c r="H79" s="95" t="s">
        <v>413</v>
      </c>
      <c r="I79" s="96">
        <v>500</v>
      </c>
      <c r="J79" s="96"/>
      <c r="K79" s="122">
        <f t="shared" si="4"/>
        <v>500</v>
      </c>
      <c r="L79" s="91"/>
    </row>
    <row r="80" spans="1:12" s="81" customFormat="1" ht="15.75" customHeight="1">
      <c r="A80" s="230"/>
      <c r="B80" s="233"/>
      <c r="C80" s="236"/>
      <c r="D80" s="236"/>
      <c r="E80" s="236"/>
      <c r="F80" s="236"/>
      <c r="G80" s="226"/>
      <c r="H80" s="95" t="s">
        <v>414</v>
      </c>
      <c r="I80" s="96">
        <v>3737</v>
      </c>
      <c r="J80" s="96"/>
      <c r="K80" s="122">
        <f t="shared" si="4"/>
        <v>3737</v>
      </c>
      <c r="L80" s="91"/>
    </row>
    <row r="81" spans="1:12" s="81" customFormat="1" ht="15.75" customHeight="1">
      <c r="A81" s="230"/>
      <c r="B81" s="233"/>
      <c r="C81" s="236"/>
      <c r="D81" s="236"/>
      <c r="E81" s="236"/>
      <c r="F81" s="236"/>
      <c r="G81" s="226"/>
      <c r="H81" s="95" t="s">
        <v>415</v>
      </c>
      <c r="I81" s="96">
        <v>1450</v>
      </c>
      <c r="J81" s="96"/>
      <c r="K81" s="122">
        <f t="shared" si="4"/>
        <v>1450</v>
      </c>
      <c r="L81" s="91"/>
    </row>
    <row r="82" spans="1:12" s="81" customFormat="1" ht="15.75" customHeight="1">
      <c r="A82" s="230"/>
      <c r="B82" s="233"/>
      <c r="C82" s="236"/>
      <c r="D82" s="236"/>
      <c r="E82" s="236"/>
      <c r="F82" s="236"/>
      <c r="G82" s="226"/>
      <c r="H82" s="95" t="s">
        <v>416</v>
      </c>
      <c r="I82" s="96">
        <v>3100</v>
      </c>
      <c r="J82" s="96"/>
      <c r="K82" s="122">
        <f t="shared" si="4"/>
        <v>3100</v>
      </c>
      <c r="L82" s="91"/>
    </row>
    <row r="83" spans="1:12" s="81" customFormat="1" ht="15.75" customHeight="1">
      <c r="A83" s="230"/>
      <c r="B83" s="233"/>
      <c r="C83" s="236"/>
      <c r="D83" s="236"/>
      <c r="E83" s="236"/>
      <c r="F83" s="236"/>
      <c r="G83" s="226"/>
      <c r="H83" s="95" t="s">
        <v>417</v>
      </c>
      <c r="I83" s="96">
        <v>15000</v>
      </c>
      <c r="J83" s="96"/>
      <c r="K83" s="122">
        <f t="shared" si="4"/>
        <v>15000</v>
      </c>
      <c r="L83" s="91"/>
    </row>
    <row r="84" spans="1:12" s="81" customFormat="1" ht="15.75" customHeight="1">
      <c r="A84" s="230"/>
      <c r="B84" s="233"/>
      <c r="C84" s="236"/>
      <c r="D84" s="236"/>
      <c r="E84" s="236"/>
      <c r="F84" s="236"/>
      <c r="G84" s="226"/>
      <c r="H84" s="95" t="s">
        <v>418</v>
      </c>
      <c r="I84" s="96">
        <f>3302+320</f>
        <v>3622</v>
      </c>
      <c r="J84" s="96"/>
      <c r="K84" s="122">
        <f t="shared" si="4"/>
        <v>3622</v>
      </c>
      <c r="L84" s="91"/>
    </row>
    <row r="85" spans="1:12" s="81" customFormat="1" ht="15.75" customHeight="1">
      <c r="A85" s="230"/>
      <c r="B85" s="233"/>
      <c r="C85" s="236"/>
      <c r="D85" s="236"/>
      <c r="E85" s="236"/>
      <c r="F85" s="236"/>
      <c r="G85" s="226"/>
      <c r="H85" s="95" t="s">
        <v>419</v>
      </c>
      <c r="I85" s="96">
        <v>9000</v>
      </c>
      <c r="J85" s="96"/>
      <c r="K85" s="122">
        <f t="shared" si="4"/>
        <v>9000</v>
      </c>
      <c r="L85" s="91"/>
    </row>
    <row r="86" spans="1:12" s="81" customFormat="1" ht="15.75" customHeight="1">
      <c r="A86" s="230"/>
      <c r="B86" s="233"/>
      <c r="C86" s="236"/>
      <c r="D86" s="236"/>
      <c r="E86" s="236"/>
      <c r="F86" s="236"/>
      <c r="G86" s="226"/>
      <c r="H86" s="47" t="s">
        <v>420</v>
      </c>
      <c r="I86" s="96">
        <v>631</v>
      </c>
      <c r="J86" s="96"/>
      <c r="K86" s="122">
        <f t="shared" si="4"/>
        <v>631</v>
      </c>
      <c r="L86" s="91"/>
    </row>
    <row r="87" spans="1:12" s="81" customFormat="1" ht="15.75" customHeight="1">
      <c r="A87" s="230"/>
      <c r="B87" s="233"/>
      <c r="C87" s="236"/>
      <c r="D87" s="236"/>
      <c r="E87" s="236"/>
      <c r="F87" s="236"/>
      <c r="G87" s="226"/>
      <c r="H87" s="47" t="s">
        <v>421</v>
      </c>
      <c r="I87" s="122">
        <v>1037</v>
      </c>
      <c r="J87" s="96"/>
      <c r="K87" s="122">
        <f t="shared" si="4"/>
        <v>1037</v>
      </c>
      <c r="L87" s="91"/>
    </row>
    <row r="88" spans="1:12" s="81" customFormat="1" ht="15.75" customHeight="1">
      <c r="A88" s="230"/>
      <c r="B88" s="233"/>
      <c r="C88" s="236"/>
      <c r="D88" s="236"/>
      <c r="E88" s="236"/>
      <c r="F88" s="236"/>
      <c r="G88" s="226"/>
      <c r="H88" s="95" t="s">
        <v>422</v>
      </c>
      <c r="I88" s="96">
        <f>I77-SUM(I78:I87)</f>
        <v>26905</v>
      </c>
      <c r="J88" s="96"/>
      <c r="K88" s="122">
        <f t="shared" si="4"/>
        <v>26905</v>
      </c>
      <c r="L88" s="91"/>
    </row>
    <row r="89" spans="1:12" s="81" customFormat="1" ht="15.75" customHeight="1">
      <c r="A89" s="231"/>
      <c r="B89" s="234"/>
      <c r="C89" s="237"/>
      <c r="D89" s="237"/>
      <c r="E89" s="237"/>
      <c r="F89" s="237"/>
      <c r="G89" s="227"/>
      <c r="H89" s="113" t="s">
        <v>423</v>
      </c>
      <c r="I89" s="99">
        <f>I77+I75</f>
        <v>83173</v>
      </c>
      <c r="J89" s="99"/>
      <c r="K89" s="123">
        <f t="shared" si="4"/>
        <v>83173</v>
      </c>
      <c r="L89" s="98"/>
    </row>
    <row r="90" spans="1:12" s="81" customFormat="1" ht="15.75" customHeight="1">
      <c r="A90" s="113"/>
      <c r="B90" s="121"/>
      <c r="C90" s="99"/>
      <c r="D90" s="99"/>
      <c r="E90" s="99"/>
      <c r="F90" s="99"/>
      <c r="G90" s="99"/>
      <c r="H90" s="120" t="s">
        <v>424</v>
      </c>
      <c r="I90" s="123">
        <v>363844</v>
      </c>
      <c r="J90" s="101">
        <f>E11</f>
        <v>211826</v>
      </c>
      <c r="K90" s="101">
        <f t="shared" si="4"/>
        <v>575670</v>
      </c>
      <c r="L90" s="98" t="s">
        <v>425</v>
      </c>
    </row>
    <row r="91" spans="1:12" s="81" customFormat="1" ht="15.75" customHeight="1">
      <c r="A91" s="124" t="s">
        <v>426</v>
      </c>
      <c r="B91" s="125">
        <f>B5+B11+B75</f>
        <v>372465</v>
      </c>
      <c r="C91" s="126">
        <f>C10+C11+C75</f>
        <v>91337</v>
      </c>
      <c r="D91" s="126">
        <f>D10+D11+D75</f>
        <v>120489</v>
      </c>
      <c r="E91" s="126">
        <f t="shared" si="1"/>
        <v>211826</v>
      </c>
      <c r="F91" s="126">
        <f t="shared" si="2"/>
        <v>584291</v>
      </c>
      <c r="G91" s="99"/>
      <c r="H91" s="124" t="s">
        <v>427</v>
      </c>
      <c r="I91" s="126">
        <f>I90+I47</f>
        <v>372465</v>
      </c>
      <c r="J91" s="126">
        <f>J90+J47</f>
        <v>211826</v>
      </c>
      <c r="K91" s="126">
        <f>K90+K47</f>
        <v>584291</v>
      </c>
      <c r="L91" s="121"/>
    </row>
    <row r="92" spans="1:12" ht="44.25" customHeight="1">
      <c r="A92" s="228" t="s">
        <v>428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</row>
    <row r="94" spans="1:12" ht="28.5" customHeight="1"/>
  </sheetData>
  <mergeCells count="18">
    <mergeCell ref="A1:L1"/>
    <mergeCell ref="A3:G3"/>
    <mergeCell ref="H3:L3"/>
    <mergeCell ref="A5:A10"/>
    <mergeCell ref="B5:B10"/>
    <mergeCell ref="C5:C10"/>
    <mergeCell ref="D5:D10"/>
    <mergeCell ref="E5:E10"/>
    <mergeCell ref="F5:F10"/>
    <mergeCell ref="G5:G10"/>
    <mergeCell ref="G75:G89"/>
    <mergeCell ref="A92:L92"/>
    <mergeCell ref="A75:A89"/>
    <mergeCell ref="B75:B89"/>
    <mergeCell ref="C75:C89"/>
    <mergeCell ref="D75:D89"/>
    <mergeCell ref="E75:E89"/>
    <mergeCell ref="F75:F89"/>
  </mergeCells>
  <phoneticPr fontId="2" type="noConversion"/>
  <conditionalFormatting sqref="A13:A51">
    <cfRule type="cellIs" dxfId="0" priority="1" stopIfTrue="1" operator="equal">
      <formula>0</formula>
    </cfRule>
  </conditionalFormatting>
  <printOptions horizontalCentered="1"/>
  <pageMargins left="0.35433070866141703" right="0.35433070866141703" top="0.70866141732283505" bottom="0.39370078740157499" header="0.511811023622047" footer="0.118110236220472"/>
  <pageSetup paperSize="9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I38" sqref="I38"/>
    </sheetView>
  </sheetViews>
  <sheetFormatPr defaultColWidth="9" defaultRowHeight="14.25"/>
  <cols>
    <col min="1" max="1" width="29.25" style="155" customWidth="1"/>
    <col min="2" max="2" width="35.75" style="155" customWidth="1"/>
    <col min="3" max="16384" width="9" style="155"/>
  </cols>
  <sheetData>
    <row r="1" spans="1:2" ht="22.5" customHeight="1">
      <c r="A1" s="249" t="s">
        <v>500</v>
      </c>
      <c r="B1" s="249"/>
    </row>
    <row r="2" spans="1:2" ht="22.5" customHeight="1">
      <c r="A2" s="156" t="s">
        <v>501</v>
      </c>
      <c r="B2" s="157" t="s">
        <v>502</v>
      </c>
    </row>
    <row r="3" spans="1:2" ht="22.5" customHeight="1">
      <c r="A3" s="158" t="s">
        <v>503</v>
      </c>
      <c r="B3" s="158" t="s">
        <v>504</v>
      </c>
    </row>
    <row r="4" spans="1:2" ht="22.5" customHeight="1">
      <c r="A4" s="158">
        <v>324600</v>
      </c>
      <c r="B4" s="158">
        <v>323347</v>
      </c>
    </row>
    <row r="5" spans="1:2">
      <c r="A5" s="159"/>
    </row>
    <row r="6" spans="1:2">
      <c r="A6" s="159"/>
      <c r="B6" s="159"/>
    </row>
    <row r="7" spans="1:2">
      <c r="A7" s="160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showZeros="0" workbookViewId="0">
      <selection activeCell="N30" sqref="N30"/>
    </sheetView>
  </sheetViews>
  <sheetFormatPr defaultColWidth="9" defaultRowHeight="14.25"/>
  <cols>
    <col min="1" max="1" width="29.625" customWidth="1"/>
    <col min="2" max="2" width="8" customWidth="1"/>
    <col min="3" max="3" width="7.375" customWidth="1"/>
    <col min="4" max="5" width="8" customWidth="1"/>
  </cols>
  <sheetData>
    <row r="1" spans="1:5" ht="22.5">
      <c r="A1" s="250" t="s">
        <v>498</v>
      </c>
      <c r="B1" s="250"/>
      <c r="C1" s="250"/>
      <c r="D1" s="250"/>
      <c r="E1" s="250"/>
    </row>
    <row r="2" spans="1:5">
      <c r="A2" s="129" t="s">
        <v>430</v>
      </c>
      <c r="B2" s="130"/>
      <c r="C2" s="130"/>
      <c r="D2" s="130"/>
      <c r="E2" s="130"/>
    </row>
    <row r="3" spans="1:5" ht="18.75">
      <c r="A3" s="251" t="s">
        <v>431</v>
      </c>
      <c r="B3" s="252"/>
      <c r="C3" s="252"/>
      <c r="D3" s="252"/>
      <c r="E3" s="253"/>
    </row>
    <row r="4" spans="1:5">
      <c r="A4" s="131" t="s">
        <v>433</v>
      </c>
      <c r="B4" s="131" t="s">
        <v>298</v>
      </c>
      <c r="C4" s="131" t="s">
        <v>434</v>
      </c>
      <c r="D4" s="131" t="s">
        <v>435</v>
      </c>
      <c r="E4" s="131" t="s">
        <v>72</v>
      </c>
    </row>
    <row r="5" spans="1:5">
      <c r="A5" s="132" t="s">
        <v>436</v>
      </c>
      <c r="B5" s="133"/>
      <c r="C5" s="133"/>
      <c r="D5" s="133"/>
      <c r="E5" s="133">
        <f>SUM(B5:D5)</f>
        <v>0</v>
      </c>
    </row>
    <row r="6" spans="1:5">
      <c r="A6" s="132" t="s">
        <v>438</v>
      </c>
      <c r="B6" s="133"/>
      <c r="C6" s="133"/>
      <c r="D6" s="133"/>
      <c r="E6" s="133">
        <f t="shared" ref="E6:E41" si="0">SUM(B6:D6)</f>
        <v>0</v>
      </c>
    </row>
    <row r="7" spans="1:5">
      <c r="A7" s="132" t="s">
        <v>440</v>
      </c>
      <c r="B7" s="133"/>
      <c r="C7" s="133"/>
      <c r="D7" s="133"/>
      <c r="E7" s="133">
        <f t="shared" si="0"/>
        <v>0</v>
      </c>
    </row>
    <row r="8" spans="1:5">
      <c r="A8" s="139" t="s">
        <v>442</v>
      </c>
      <c r="B8" s="133"/>
      <c r="C8" s="133"/>
      <c r="D8" s="133"/>
      <c r="E8" s="133">
        <f t="shared" si="0"/>
        <v>0</v>
      </c>
    </row>
    <row r="9" spans="1:5">
      <c r="A9" s="139" t="s">
        <v>444</v>
      </c>
      <c r="B9" s="133"/>
      <c r="C9" s="133"/>
      <c r="D9" s="133"/>
      <c r="E9" s="133">
        <f t="shared" si="0"/>
        <v>0</v>
      </c>
    </row>
    <row r="10" spans="1:5">
      <c r="A10" s="132" t="s">
        <v>446</v>
      </c>
      <c r="B10" s="133"/>
      <c r="C10" s="133"/>
      <c r="D10" s="133"/>
      <c r="E10" s="133">
        <f t="shared" si="0"/>
        <v>0</v>
      </c>
    </row>
    <row r="11" spans="1:5">
      <c r="A11" s="132" t="s">
        <v>448</v>
      </c>
      <c r="B11" s="133">
        <v>130000</v>
      </c>
      <c r="C11" s="133"/>
      <c r="D11" s="133"/>
      <c r="E11" s="133">
        <f t="shared" si="0"/>
        <v>130000</v>
      </c>
    </row>
    <row r="12" spans="1:5">
      <c r="A12" s="132" t="s">
        <v>450</v>
      </c>
      <c r="B12" s="133"/>
      <c r="C12" s="133"/>
      <c r="D12" s="133"/>
      <c r="E12" s="133">
        <f t="shared" si="0"/>
        <v>0</v>
      </c>
    </row>
    <row r="13" spans="1:5">
      <c r="A13" s="132" t="s">
        <v>452</v>
      </c>
      <c r="B13" s="133"/>
      <c r="C13" s="133"/>
      <c r="D13" s="133"/>
      <c r="E13" s="133">
        <f t="shared" si="0"/>
        <v>0</v>
      </c>
    </row>
    <row r="14" spans="1:5">
      <c r="A14" s="132" t="s">
        <v>454</v>
      </c>
      <c r="B14" s="133">
        <v>500</v>
      </c>
      <c r="C14" s="133"/>
      <c r="D14" s="133"/>
      <c r="E14" s="133">
        <f t="shared" si="0"/>
        <v>500</v>
      </c>
    </row>
    <row r="15" spans="1:5">
      <c r="A15" s="132" t="s">
        <v>456</v>
      </c>
      <c r="B15" s="133"/>
      <c r="C15" s="133"/>
      <c r="D15" s="133"/>
      <c r="E15" s="133">
        <f t="shared" si="0"/>
        <v>0</v>
      </c>
    </row>
    <row r="16" spans="1:5">
      <c r="A16" s="132" t="s">
        <v>458</v>
      </c>
      <c r="B16" s="133"/>
      <c r="C16" s="133"/>
      <c r="D16" s="133"/>
      <c r="E16" s="133">
        <f t="shared" si="0"/>
        <v>0</v>
      </c>
    </row>
    <row r="17" spans="1:5">
      <c r="A17" s="132" t="s">
        <v>460</v>
      </c>
      <c r="B17" s="133"/>
      <c r="C17" s="133"/>
      <c r="D17" s="133"/>
      <c r="E17" s="133">
        <f t="shared" si="0"/>
        <v>0</v>
      </c>
    </row>
    <row r="18" spans="1:5">
      <c r="A18" s="132" t="s">
        <v>462</v>
      </c>
      <c r="B18" s="133">
        <v>500</v>
      </c>
      <c r="C18" s="133"/>
      <c r="D18" s="133"/>
      <c r="E18" s="133">
        <f t="shared" si="0"/>
        <v>500</v>
      </c>
    </row>
    <row r="19" spans="1:5">
      <c r="A19" s="132" t="s">
        <v>464</v>
      </c>
      <c r="B19" s="133"/>
      <c r="C19" s="133"/>
      <c r="D19" s="133"/>
      <c r="E19" s="133">
        <f t="shared" si="0"/>
        <v>0</v>
      </c>
    </row>
    <row r="20" spans="1:5">
      <c r="A20" s="132" t="s">
        <v>466</v>
      </c>
      <c r="B20" s="133"/>
      <c r="C20" s="133"/>
      <c r="D20" s="133"/>
      <c r="E20" s="133">
        <f t="shared" si="0"/>
        <v>0</v>
      </c>
    </row>
    <row r="21" spans="1:5">
      <c r="A21" s="132"/>
      <c r="B21" s="133"/>
      <c r="C21" s="133"/>
      <c r="D21" s="133"/>
      <c r="E21" s="133">
        <f t="shared" si="0"/>
        <v>0</v>
      </c>
    </row>
    <row r="22" spans="1:5">
      <c r="A22" s="141"/>
      <c r="B22" s="133"/>
      <c r="C22" s="133"/>
      <c r="D22" s="133"/>
      <c r="E22" s="133">
        <f t="shared" si="0"/>
        <v>0</v>
      </c>
    </row>
    <row r="23" spans="1:5">
      <c r="A23" s="141"/>
      <c r="B23" s="133"/>
      <c r="C23" s="133"/>
      <c r="D23" s="133"/>
      <c r="E23" s="133">
        <f t="shared" si="0"/>
        <v>0</v>
      </c>
    </row>
    <row r="24" spans="1:5">
      <c r="A24" s="141"/>
      <c r="B24" s="133"/>
      <c r="C24" s="133"/>
      <c r="D24" s="133"/>
      <c r="E24" s="133">
        <f t="shared" si="0"/>
        <v>0</v>
      </c>
    </row>
    <row r="25" spans="1:5">
      <c r="A25" s="141"/>
      <c r="B25" s="133"/>
      <c r="C25" s="133"/>
      <c r="D25" s="133"/>
      <c r="E25" s="133">
        <f t="shared" si="0"/>
        <v>0</v>
      </c>
    </row>
    <row r="26" spans="1:5">
      <c r="A26" s="141"/>
      <c r="B26" s="133"/>
      <c r="C26" s="133"/>
      <c r="D26" s="133"/>
      <c r="E26" s="133"/>
    </row>
    <row r="27" spans="1:5">
      <c r="A27" s="141"/>
      <c r="B27" s="133"/>
      <c r="C27" s="133"/>
      <c r="D27" s="133"/>
      <c r="E27" s="133">
        <f t="shared" si="0"/>
        <v>0</v>
      </c>
    </row>
    <row r="28" spans="1:5">
      <c r="A28" s="141"/>
      <c r="B28" s="133"/>
      <c r="C28" s="133"/>
      <c r="D28" s="133"/>
      <c r="E28" s="133">
        <f t="shared" si="0"/>
        <v>0</v>
      </c>
    </row>
    <row r="29" spans="1:5">
      <c r="A29" s="143" t="s">
        <v>476</v>
      </c>
      <c r="B29" s="133">
        <f>SUM(B5:B28)</f>
        <v>131000</v>
      </c>
      <c r="C29" s="133"/>
      <c r="D29" s="133"/>
      <c r="E29" s="133">
        <f t="shared" si="0"/>
        <v>131000</v>
      </c>
    </row>
    <row r="30" spans="1:5" s="149" customFormat="1" ht="20.100000000000001" customHeight="1">
      <c r="A30" s="145" t="s">
        <v>478</v>
      </c>
      <c r="B30" s="146">
        <f>B31+B34+B35+B37+B38</f>
        <v>0</v>
      </c>
      <c r="C30" s="146">
        <f t="shared" ref="C30:D30" si="1">C31+C34+C35+C37+C38</f>
        <v>7484</v>
      </c>
      <c r="D30" s="146">
        <f t="shared" si="1"/>
        <v>29219</v>
      </c>
      <c r="E30" s="133">
        <f t="shared" si="0"/>
        <v>36703</v>
      </c>
    </row>
    <row r="31" spans="1:5" s="149" customFormat="1" ht="20.100000000000001" customHeight="1">
      <c r="A31" s="150" t="s">
        <v>480</v>
      </c>
      <c r="B31" s="146">
        <f>B32+B33</f>
        <v>0</v>
      </c>
      <c r="C31" s="146">
        <f t="shared" ref="C31:D31" si="2">C32+C33</f>
        <v>7484</v>
      </c>
      <c r="D31" s="146">
        <f t="shared" si="2"/>
        <v>0</v>
      </c>
      <c r="E31" s="133">
        <f t="shared" si="0"/>
        <v>7484</v>
      </c>
    </row>
    <row r="32" spans="1:5" s="149" customFormat="1" ht="20.100000000000001" customHeight="1">
      <c r="A32" s="150" t="s">
        <v>482</v>
      </c>
      <c r="B32" s="146"/>
      <c r="C32" s="146">
        <v>7484</v>
      </c>
      <c r="D32" s="146"/>
      <c r="E32" s="133">
        <f t="shared" si="0"/>
        <v>7484</v>
      </c>
    </row>
    <row r="33" spans="1:5" s="149" customFormat="1" ht="20.100000000000001" customHeight="1">
      <c r="A33" s="150" t="s">
        <v>484</v>
      </c>
      <c r="B33" s="146"/>
      <c r="C33" s="146"/>
      <c r="D33" s="146"/>
      <c r="E33" s="133">
        <f t="shared" si="0"/>
        <v>0</v>
      </c>
    </row>
    <row r="34" spans="1:5" s="149" customFormat="1" ht="20.100000000000001" customHeight="1">
      <c r="A34" s="150" t="s">
        <v>486</v>
      </c>
      <c r="B34" s="146"/>
      <c r="C34" s="146"/>
      <c r="D34" s="146">
        <v>29219</v>
      </c>
      <c r="E34" s="133">
        <f t="shared" si="0"/>
        <v>29219</v>
      </c>
    </row>
    <row r="35" spans="1:5" s="149" customFormat="1" ht="20.100000000000001" customHeight="1">
      <c r="A35" s="150" t="s">
        <v>488</v>
      </c>
      <c r="B35" s="146"/>
      <c r="C35" s="146"/>
      <c r="D35" s="146"/>
      <c r="E35" s="133">
        <f t="shared" si="0"/>
        <v>0</v>
      </c>
    </row>
    <row r="36" spans="1:5" s="149" customFormat="1" ht="20.100000000000001" customHeight="1">
      <c r="A36" s="151" t="s">
        <v>490</v>
      </c>
      <c r="B36" s="146"/>
      <c r="C36" s="146"/>
      <c r="D36" s="146"/>
      <c r="E36" s="133">
        <f t="shared" si="0"/>
        <v>0</v>
      </c>
    </row>
    <row r="37" spans="1:5" s="149" customFormat="1" ht="20.100000000000001" customHeight="1">
      <c r="A37" s="153" t="s">
        <v>492</v>
      </c>
      <c r="B37" s="146"/>
      <c r="C37" s="146"/>
      <c r="D37" s="146"/>
      <c r="E37" s="133">
        <f t="shared" si="0"/>
        <v>0</v>
      </c>
    </row>
    <row r="38" spans="1:5" s="149" customFormat="1" ht="20.100000000000001" customHeight="1">
      <c r="A38" s="153" t="s">
        <v>494</v>
      </c>
      <c r="B38" s="146"/>
      <c r="C38" s="146"/>
      <c r="D38" s="146"/>
      <c r="E38" s="133">
        <f t="shared" si="0"/>
        <v>0</v>
      </c>
    </row>
    <row r="39" spans="1:5">
      <c r="A39" s="141"/>
      <c r="B39" s="133"/>
      <c r="C39" s="133"/>
      <c r="D39" s="133"/>
      <c r="E39" s="133">
        <f t="shared" si="0"/>
        <v>0</v>
      </c>
    </row>
    <row r="40" spans="1:5">
      <c r="A40" s="141"/>
      <c r="B40" s="133"/>
      <c r="C40" s="133"/>
      <c r="D40" s="133"/>
      <c r="E40" s="133">
        <f t="shared" si="0"/>
        <v>0</v>
      </c>
    </row>
    <row r="41" spans="1:5">
      <c r="A41" s="135" t="s">
        <v>495</v>
      </c>
      <c r="B41" s="142">
        <f>SUM(B5:B28)+B30</f>
        <v>131000</v>
      </c>
      <c r="C41" s="142">
        <f t="shared" ref="C41:D41" si="3">SUM(C5:C28)+C30</f>
        <v>7484</v>
      </c>
      <c r="D41" s="142">
        <f t="shared" si="3"/>
        <v>29219</v>
      </c>
      <c r="E41" s="133">
        <f t="shared" si="0"/>
        <v>167703</v>
      </c>
    </row>
    <row r="42" spans="1:5">
      <c r="A42" s="130"/>
      <c r="B42" s="130"/>
      <c r="C42" s="130"/>
      <c r="D42" s="130"/>
      <c r="E42" s="130"/>
    </row>
    <row r="43" spans="1:5">
      <c r="A43" s="130"/>
      <c r="B43" s="130"/>
      <c r="C43" s="130"/>
      <c r="D43" s="130"/>
      <c r="E43" s="130"/>
    </row>
    <row r="44" spans="1:5">
      <c r="A44" s="130"/>
      <c r="B44" s="130"/>
      <c r="C44" s="130"/>
      <c r="D44" s="130"/>
      <c r="E44" s="130"/>
    </row>
    <row r="45" spans="1:5">
      <c r="A45" s="130"/>
      <c r="B45" s="130"/>
      <c r="C45" s="130"/>
      <c r="D45" s="130"/>
      <c r="E45" s="130"/>
    </row>
    <row r="46" spans="1:5">
      <c r="A46" s="130"/>
      <c r="B46" s="130"/>
      <c r="C46" s="130"/>
      <c r="D46" s="130"/>
      <c r="E46" s="130"/>
    </row>
    <row r="47" spans="1:5">
      <c r="A47" s="130"/>
      <c r="B47" s="130"/>
      <c r="C47" s="130"/>
      <c r="D47" s="130"/>
      <c r="E47" s="130"/>
    </row>
    <row r="48" spans="1:5">
      <c r="A48" s="130"/>
      <c r="B48" s="130"/>
      <c r="C48" s="130"/>
      <c r="D48" s="130"/>
      <c r="E48" s="130"/>
    </row>
  </sheetData>
  <mergeCells count="2">
    <mergeCell ref="A1:E1"/>
    <mergeCell ref="A3:E3"/>
  </mergeCells>
  <phoneticPr fontId="2" type="noConversion"/>
  <pageMargins left="0.31496062992126" right="0.31496062992126" top="0.74803149606299202" bottom="0.74803149606299202" header="0.31496062992126" footer="0.31496062992126"/>
  <pageSetup paperSize="9" orientation="landscape" useFirstPageNumber="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showZeros="0" workbookViewId="0">
      <selection activeCell="D30" sqref="D30"/>
    </sheetView>
  </sheetViews>
  <sheetFormatPr defaultColWidth="9" defaultRowHeight="14.25"/>
  <cols>
    <col min="1" max="1" width="37.75" customWidth="1"/>
    <col min="2" max="2" width="8.625" customWidth="1"/>
    <col min="3" max="5" width="8" customWidth="1"/>
  </cols>
  <sheetData>
    <row r="1" spans="1:5" ht="22.5">
      <c r="A1" s="250" t="s">
        <v>497</v>
      </c>
      <c r="B1" s="250"/>
      <c r="C1" s="250"/>
      <c r="D1" s="250"/>
      <c r="E1" s="250"/>
    </row>
    <row r="2" spans="1:5">
      <c r="A2" s="254" t="s">
        <v>9</v>
      </c>
      <c r="B2" s="254"/>
      <c r="C2" s="254"/>
      <c r="D2" s="254"/>
      <c r="E2" s="254"/>
    </row>
    <row r="3" spans="1:5" ht="18.75">
      <c r="A3" s="251" t="s">
        <v>432</v>
      </c>
      <c r="B3" s="252"/>
      <c r="C3" s="252"/>
      <c r="D3" s="252"/>
      <c r="E3" s="253"/>
    </row>
    <row r="4" spans="1:5">
      <c r="A4" s="131" t="s">
        <v>433</v>
      </c>
      <c r="B4" s="131" t="s">
        <v>298</v>
      </c>
      <c r="C4" s="131" t="s">
        <v>434</v>
      </c>
      <c r="D4" s="131" t="s">
        <v>435</v>
      </c>
      <c r="E4" s="131" t="s">
        <v>72</v>
      </c>
    </row>
    <row r="5" spans="1:5">
      <c r="A5" s="134" t="s">
        <v>437</v>
      </c>
      <c r="B5" s="135"/>
      <c r="C5" s="136">
        <f>C6+C7</f>
        <v>7</v>
      </c>
      <c r="D5" s="136">
        <f>D6+D7</f>
        <v>9</v>
      </c>
      <c r="E5" s="136">
        <f>SUM(B5:D5)</f>
        <v>16</v>
      </c>
    </row>
    <row r="6" spans="1:5">
      <c r="A6" s="137" t="s">
        <v>439</v>
      </c>
      <c r="B6" s="133"/>
      <c r="C6" s="136">
        <v>7</v>
      </c>
      <c r="D6" s="136">
        <v>8</v>
      </c>
      <c r="E6" s="136">
        <f t="shared" ref="E6:E30" si="0">SUM(B6:D6)</f>
        <v>15</v>
      </c>
    </row>
    <row r="7" spans="1:5">
      <c r="A7" s="138" t="s">
        <v>441</v>
      </c>
      <c r="B7" s="136"/>
      <c r="C7" s="136"/>
      <c r="D7" s="136">
        <v>1</v>
      </c>
      <c r="E7" s="136">
        <f t="shared" si="0"/>
        <v>1</v>
      </c>
    </row>
    <row r="8" spans="1:5">
      <c r="A8" s="134" t="s">
        <v>443</v>
      </c>
      <c r="B8" s="133"/>
      <c r="C8" s="136">
        <f>SUM(C9:C10)</f>
        <v>6688</v>
      </c>
      <c r="D8" s="136">
        <f>SUM(D9:D10)</f>
        <v>6760</v>
      </c>
      <c r="E8" s="136">
        <f t="shared" si="0"/>
        <v>13448</v>
      </c>
    </row>
    <row r="9" spans="1:5">
      <c r="A9" s="137" t="s">
        <v>445</v>
      </c>
      <c r="B9" s="133"/>
      <c r="C9" s="136">
        <v>6688</v>
      </c>
      <c r="D9" s="136">
        <v>6760</v>
      </c>
      <c r="E9" s="136">
        <f t="shared" si="0"/>
        <v>13448</v>
      </c>
    </row>
    <row r="10" spans="1:5">
      <c r="A10" s="137" t="s">
        <v>447</v>
      </c>
      <c r="B10" s="133"/>
      <c r="C10" s="136"/>
      <c r="D10" s="136"/>
      <c r="E10" s="136">
        <f t="shared" si="0"/>
        <v>0</v>
      </c>
    </row>
    <row r="11" spans="1:5">
      <c r="A11" s="134" t="s">
        <v>449</v>
      </c>
      <c r="B11" s="133"/>
      <c r="C11" s="136"/>
      <c r="D11" s="136"/>
      <c r="E11" s="136">
        <f t="shared" si="0"/>
        <v>0</v>
      </c>
    </row>
    <row r="12" spans="1:5">
      <c r="A12" s="134" t="s">
        <v>451</v>
      </c>
      <c r="B12" s="133">
        <f>SUM(B13:B17)</f>
        <v>44100</v>
      </c>
      <c r="C12" s="133">
        <f t="shared" ref="C12:D12" si="1">SUM(C13:C17)</f>
        <v>0</v>
      </c>
      <c r="D12" s="133">
        <f t="shared" si="1"/>
        <v>8909</v>
      </c>
      <c r="E12" s="136">
        <f t="shared" si="0"/>
        <v>53009</v>
      </c>
    </row>
    <row r="13" spans="1:5">
      <c r="A13" s="134" t="s">
        <v>453</v>
      </c>
      <c r="B13" s="133">
        <v>43100</v>
      </c>
      <c r="C13" s="136"/>
      <c r="D13" s="136">
        <v>6468</v>
      </c>
      <c r="E13" s="136">
        <f t="shared" si="0"/>
        <v>49568</v>
      </c>
    </row>
    <row r="14" spans="1:5">
      <c r="A14" s="134" t="s">
        <v>455</v>
      </c>
      <c r="B14" s="133"/>
      <c r="C14" s="136"/>
      <c r="D14" s="136">
        <v>55</v>
      </c>
      <c r="E14" s="136">
        <f t="shared" si="0"/>
        <v>55</v>
      </c>
    </row>
    <row r="15" spans="1:5">
      <c r="A15" s="134" t="s">
        <v>457</v>
      </c>
      <c r="B15" s="133"/>
      <c r="C15" s="136"/>
      <c r="D15" s="136"/>
      <c r="E15" s="136">
        <f t="shared" si="0"/>
        <v>0</v>
      </c>
    </row>
    <row r="16" spans="1:5">
      <c r="A16" s="134" t="s">
        <v>459</v>
      </c>
      <c r="B16" s="133">
        <v>500</v>
      </c>
      <c r="C16" s="136"/>
      <c r="D16" s="136">
        <v>1413</v>
      </c>
      <c r="E16" s="136">
        <f t="shared" si="0"/>
        <v>1913</v>
      </c>
    </row>
    <row r="17" spans="1:5">
      <c r="A17" s="134" t="s">
        <v>461</v>
      </c>
      <c r="B17" s="133">
        <v>500</v>
      </c>
      <c r="C17" s="136"/>
      <c r="D17" s="136">
        <v>973</v>
      </c>
      <c r="E17" s="136">
        <f t="shared" si="0"/>
        <v>1473</v>
      </c>
    </row>
    <row r="18" spans="1:5">
      <c r="A18" s="134" t="s">
        <v>463</v>
      </c>
      <c r="B18" s="133"/>
      <c r="C18" s="136"/>
      <c r="D18" s="136"/>
      <c r="E18" s="136">
        <f t="shared" si="0"/>
        <v>0</v>
      </c>
    </row>
    <row r="19" spans="1:5">
      <c r="A19" s="140" t="s">
        <v>465</v>
      </c>
      <c r="B19" s="133"/>
      <c r="C19" s="136"/>
      <c r="D19" s="136"/>
      <c r="E19" s="136">
        <f t="shared" si="0"/>
        <v>0</v>
      </c>
    </row>
    <row r="20" spans="1:5">
      <c r="A20" s="140" t="s">
        <v>467</v>
      </c>
      <c r="B20" s="133"/>
      <c r="C20" s="136"/>
      <c r="D20" s="136"/>
      <c r="E20" s="136">
        <f t="shared" si="0"/>
        <v>0</v>
      </c>
    </row>
    <row r="21" spans="1:5">
      <c r="A21" s="140" t="s">
        <v>468</v>
      </c>
      <c r="B21" s="133"/>
      <c r="C21" s="136"/>
      <c r="D21" s="136"/>
      <c r="E21" s="136">
        <f t="shared" si="0"/>
        <v>0</v>
      </c>
    </row>
    <row r="22" spans="1:5">
      <c r="A22" s="137" t="s">
        <v>469</v>
      </c>
      <c r="B22" s="133"/>
      <c r="C22" s="136"/>
      <c r="D22" s="136"/>
      <c r="E22" s="136">
        <f t="shared" si="0"/>
        <v>0</v>
      </c>
    </row>
    <row r="23" spans="1:5">
      <c r="A23" s="137" t="s">
        <v>470</v>
      </c>
      <c r="B23" s="133"/>
      <c r="C23" s="136"/>
      <c r="D23" s="136"/>
      <c r="E23" s="136">
        <f t="shared" si="0"/>
        <v>0</v>
      </c>
    </row>
    <row r="24" spans="1:5">
      <c r="A24" s="137" t="s">
        <v>471</v>
      </c>
      <c r="B24" s="133"/>
      <c r="C24" s="136"/>
      <c r="D24" s="136"/>
      <c r="E24" s="136">
        <f t="shared" si="0"/>
        <v>0</v>
      </c>
    </row>
    <row r="25" spans="1:5">
      <c r="A25" s="137" t="s">
        <v>472</v>
      </c>
      <c r="B25" s="142"/>
      <c r="C25" s="136">
        <v>789</v>
      </c>
      <c r="D25" s="136">
        <f>1370+12171</f>
        <v>13541</v>
      </c>
      <c r="E25" s="136">
        <f t="shared" si="0"/>
        <v>14330</v>
      </c>
    </row>
    <row r="26" spans="1:5">
      <c r="A26" s="137" t="s">
        <v>473</v>
      </c>
      <c r="B26" s="142"/>
      <c r="C26" s="136"/>
      <c r="D26" s="136"/>
      <c r="E26" s="136">
        <f t="shared" si="0"/>
        <v>0</v>
      </c>
    </row>
    <row r="27" spans="1:5">
      <c r="A27" s="140" t="s">
        <v>474</v>
      </c>
      <c r="B27" s="142">
        <v>7900</v>
      </c>
      <c r="C27" s="136"/>
      <c r="D27" s="136"/>
      <c r="E27" s="136">
        <f t="shared" si="0"/>
        <v>7900</v>
      </c>
    </row>
    <row r="28" spans="1:5">
      <c r="A28" s="137" t="s">
        <v>475</v>
      </c>
      <c r="B28" s="142"/>
      <c r="C28" s="136"/>
      <c r="D28" s="136"/>
      <c r="E28" s="136">
        <f t="shared" si="0"/>
        <v>0</v>
      </c>
    </row>
    <row r="29" spans="1:5">
      <c r="A29" s="144" t="s">
        <v>477</v>
      </c>
      <c r="B29" s="136">
        <f>B5+B8+B11+B12+B18+B22+B23+B24+B25+B27+B28</f>
        <v>52000</v>
      </c>
      <c r="C29" s="136">
        <f>C5+C8+C11+C12+C18+C22+C23+C24+C25+C27+C28</f>
        <v>7484</v>
      </c>
      <c r="D29" s="136">
        <f>D5+D8+D11+D12+D18+D22+D23+D24+D25+D27+D28+D26</f>
        <v>29219</v>
      </c>
      <c r="E29" s="136">
        <f t="shared" si="0"/>
        <v>88703</v>
      </c>
    </row>
    <row r="30" spans="1:5" s="149" customFormat="1" ht="20.100000000000001" customHeight="1">
      <c r="A30" s="147" t="s">
        <v>479</v>
      </c>
      <c r="B30" s="146">
        <f>B31+B34+B35+B36+B37</f>
        <v>79000</v>
      </c>
      <c r="C30" s="148"/>
      <c r="D30" s="148"/>
      <c r="E30" s="148">
        <f t="shared" si="0"/>
        <v>79000</v>
      </c>
    </row>
    <row r="31" spans="1:5" s="149" customFormat="1" ht="20.100000000000001" customHeight="1">
      <c r="A31" s="146" t="s">
        <v>481</v>
      </c>
      <c r="B31" s="146"/>
      <c r="C31" s="148"/>
      <c r="D31" s="148"/>
      <c r="E31" s="148">
        <f t="shared" ref="E31:E41" si="2">SUM(B31:D31)</f>
        <v>0</v>
      </c>
    </row>
    <row r="32" spans="1:5" s="149" customFormat="1" ht="20.100000000000001" customHeight="1">
      <c r="A32" s="146" t="s">
        <v>483</v>
      </c>
      <c r="B32" s="146"/>
      <c r="C32" s="148"/>
      <c r="D32" s="148"/>
      <c r="E32" s="148">
        <f t="shared" si="2"/>
        <v>0</v>
      </c>
    </row>
    <row r="33" spans="1:5" s="149" customFormat="1" ht="20.100000000000001" customHeight="1">
      <c r="A33" s="146" t="s">
        <v>485</v>
      </c>
      <c r="B33" s="146"/>
      <c r="C33" s="148"/>
      <c r="D33" s="148"/>
      <c r="E33" s="148">
        <f t="shared" si="2"/>
        <v>0</v>
      </c>
    </row>
    <row r="34" spans="1:5" s="149" customFormat="1" ht="20.100000000000001" customHeight="1">
      <c r="A34" s="146" t="s">
        <v>487</v>
      </c>
      <c r="B34" s="146">
        <v>70000</v>
      </c>
      <c r="C34" s="148"/>
      <c r="D34" s="148"/>
      <c r="E34" s="148">
        <f t="shared" si="2"/>
        <v>70000</v>
      </c>
    </row>
    <row r="35" spans="1:5" s="149" customFormat="1" ht="20.100000000000001" customHeight="1">
      <c r="A35" s="146" t="s">
        <v>489</v>
      </c>
      <c r="B35" s="146"/>
      <c r="C35" s="148"/>
      <c r="D35" s="148"/>
      <c r="E35" s="148">
        <f t="shared" si="2"/>
        <v>0</v>
      </c>
    </row>
    <row r="36" spans="1:5" s="149" customFormat="1" ht="20.100000000000001" customHeight="1">
      <c r="A36" s="152" t="s">
        <v>491</v>
      </c>
      <c r="B36" s="146">
        <v>9000</v>
      </c>
      <c r="C36" s="148"/>
      <c r="D36" s="148"/>
      <c r="E36" s="148">
        <f t="shared" si="2"/>
        <v>9000</v>
      </c>
    </row>
    <row r="37" spans="1:5" s="149" customFormat="1" ht="20.100000000000001" customHeight="1">
      <c r="A37" s="152" t="s">
        <v>493</v>
      </c>
      <c r="B37" s="146"/>
      <c r="C37" s="148"/>
      <c r="D37" s="148"/>
      <c r="E37" s="148">
        <f t="shared" si="2"/>
        <v>0</v>
      </c>
    </row>
    <row r="38" spans="1:5" s="149" customFormat="1" ht="20.100000000000001" customHeight="1">
      <c r="A38" s="146">
        <f>[3]表九!B184</f>
        <v>0</v>
      </c>
      <c r="B38" s="146"/>
      <c r="C38" s="148"/>
      <c r="D38" s="148"/>
      <c r="E38" s="148">
        <f t="shared" si="2"/>
        <v>0</v>
      </c>
    </row>
    <row r="39" spans="1:5">
      <c r="A39" s="154"/>
      <c r="B39" s="142"/>
      <c r="C39" s="136"/>
      <c r="D39" s="136"/>
      <c r="E39" s="148">
        <f t="shared" si="2"/>
        <v>0</v>
      </c>
    </row>
    <row r="40" spans="1:5">
      <c r="A40" s="154"/>
      <c r="B40" s="142"/>
      <c r="C40" s="136"/>
      <c r="D40" s="136"/>
      <c r="E40" s="148">
        <f t="shared" si="2"/>
        <v>0</v>
      </c>
    </row>
    <row r="41" spans="1:5">
      <c r="A41" s="135" t="s">
        <v>496</v>
      </c>
      <c r="B41" s="142">
        <f>B29+B30</f>
        <v>131000</v>
      </c>
      <c r="C41" s="142">
        <f t="shared" ref="C41:D41" si="3">C29+C30</f>
        <v>7484</v>
      </c>
      <c r="D41" s="142">
        <f t="shared" si="3"/>
        <v>29219</v>
      </c>
      <c r="E41" s="148">
        <f t="shared" si="2"/>
        <v>167703</v>
      </c>
    </row>
    <row r="42" spans="1:5">
      <c r="A42" s="130"/>
      <c r="B42" s="130"/>
    </row>
    <row r="43" spans="1:5">
      <c r="A43" s="130"/>
      <c r="B43" s="130"/>
    </row>
    <row r="44" spans="1:5">
      <c r="A44" s="130"/>
      <c r="B44" s="130"/>
    </row>
    <row r="45" spans="1:5">
      <c r="A45" s="130"/>
      <c r="B45" s="130"/>
    </row>
    <row r="46" spans="1:5">
      <c r="A46" s="130"/>
      <c r="B46" s="130"/>
    </row>
    <row r="47" spans="1:5">
      <c r="A47" s="130"/>
      <c r="B47" s="130"/>
    </row>
    <row r="48" spans="1:5">
      <c r="A48" s="130"/>
      <c r="B48" s="130"/>
    </row>
  </sheetData>
  <mergeCells count="3">
    <mergeCell ref="A2:E2"/>
    <mergeCell ref="A3:E3"/>
    <mergeCell ref="A1:E1"/>
  </mergeCells>
  <phoneticPr fontId="2" type="noConversion"/>
  <pageMargins left="0.31496062992126" right="0.31496062992126" top="0.74803149606299202" bottom="0.74803149606299202" header="0.31496062992126" footer="0.31496062992126"/>
  <pageSetup paperSize="9" orientation="landscape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16</vt:i4>
      </vt:variant>
    </vt:vector>
  </HeadingPairs>
  <TitlesOfParts>
    <vt:vector size="35" baseType="lpstr">
      <vt:lpstr>目录</vt:lpstr>
      <vt:lpstr>一般公共预算收入表（表一）</vt:lpstr>
      <vt:lpstr>一般公共预算支出表（经济分类表-明细）（表二）</vt:lpstr>
      <vt:lpstr>一般公共预算本级支出表（经济分类表-明细）（表三）</vt:lpstr>
      <vt:lpstr>一般公共预算本级基本支出表（经济分类表-明细）（表四） </vt:lpstr>
      <vt:lpstr>一般公共预算税收返还和转移支付表（表五）</vt:lpstr>
      <vt:lpstr>政府一般债务限额和余额表（表六）</vt:lpstr>
      <vt:lpstr>政府性基金收入表（表七）</vt:lpstr>
      <vt:lpstr>政府性基金支出表（表八）</vt:lpstr>
      <vt:lpstr>本级政府性基金支出表（表九） (3)</vt:lpstr>
      <vt:lpstr>政府性基金转移支付表 (表十)</vt:lpstr>
      <vt:lpstr>专项债务限额和余额表 （表十一）</vt:lpstr>
      <vt:lpstr>国有资本经营预算收入表（表十二）</vt:lpstr>
      <vt:lpstr>国有资本经营预算支出表（表十三)</vt:lpstr>
      <vt:lpstr>本级国有资本经营支出表（表十四） </vt:lpstr>
      <vt:lpstr>国有资本经营预算转移支付表（表十五）</vt:lpstr>
      <vt:lpstr>社会保险基金收入表（表十六）</vt:lpstr>
      <vt:lpstr>社会保险基金支出表（表十七）</vt:lpstr>
      <vt:lpstr>三公（表十八）</vt:lpstr>
      <vt:lpstr>'本级国有资本经营支出表（表十四） '!Print_Area</vt:lpstr>
      <vt:lpstr>'国有资本经营预算收入表（表十二）'!Print_Area</vt:lpstr>
      <vt:lpstr>'国有资本经营预算支出表（表十三)'!Print_Area</vt:lpstr>
      <vt:lpstr>'一般公共预算本级基本支出表（经济分类表-明细）（表四） '!Print_Area</vt:lpstr>
      <vt:lpstr>'一般公共预算本级支出表（经济分类表-明细）（表三）'!Print_Area</vt:lpstr>
      <vt:lpstr>'一般公共预算收入表（表一）'!Print_Area</vt:lpstr>
      <vt:lpstr>'一般公共预算支出表（经济分类表-明细）（表二）'!Print_Area</vt:lpstr>
      <vt:lpstr>'本级政府性基金支出表（表九） (3)'!Print_Titles</vt:lpstr>
      <vt:lpstr>'三公（表十八）'!Print_Titles</vt:lpstr>
      <vt:lpstr>'一般公共预算本级基本支出表（经济分类表-明细）（表四） '!Print_Titles</vt:lpstr>
      <vt:lpstr>'一般公共预算本级支出表（经济分类表-明细）（表三）'!Print_Titles</vt:lpstr>
      <vt:lpstr>'一般公共预算税收返还和转移支付表（表五）'!Print_Titles</vt:lpstr>
      <vt:lpstr>'一般公共预算支出表（经济分类表-明细）（表二）'!Print_Titles</vt:lpstr>
      <vt:lpstr>'政府性基金收入表（表七）'!Print_Titles</vt:lpstr>
      <vt:lpstr>'政府性基金支出表（表八）'!Print_Titles</vt:lpstr>
      <vt:lpstr>'政府性基金转移支付表 (表十)'!Print_Titles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2023-04-26T08:23:08Z</cp:lastPrinted>
  <dcterms:created xsi:type="dcterms:W3CDTF">2023-03-22T02:03:23Z</dcterms:created>
  <dcterms:modified xsi:type="dcterms:W3CDTF">2023-04-27T07:10:56Z</dcterms:modified>
</cp:coreProperties>
</file>